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63D9E68C-06A1-4DF5-81F9-F3D4D177BF98}" xr6:coauthVersionLast="45" xr6:coauthVersionMax="45"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Population by Age - Wikipedia" sheetId="2" r:id="rId4"/>
    <sheet name="AU 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135" i="1" l="1"/>
  <c r="R46" i="1" l="1"/>
  <c r="AM108" i="1" l="1"/>
  <c r="M135" i="1"/>
  <c r="N135" i="1"/>
  <c r="O135" i="1"/>
  <c r="P135" i="1"/>
  <c r="Q135" i="1"/>
  <c r="R135" i="1"/>
  <c r="S135" i="1"/>
  <c r="T135" i="1"/>
  <c r="U135" i="1"/>
  <c r="V135" i="1"/>
  <c r="W135" i="1"/>
  <c r="X135" i="1"/>
  <c r="Y135" i="1"/>
  <c r="Z135" i="1"/>
  <c r="L135" i="1"/>
  <c r="AD132" i="1"/>
  <c r="E34" i="4" l="1"/>
  <c r="C45" i="4"/>
  <c r="AO112" i="1" l="1"/>
  <c r="AO109" i="1"/>
  <c r="AO108" i="1" s="1"/>
  <c r="AO116" i="1" s="1"/>
  <c r="AL112" i="1"/>
  <c r="AM112" i="1"/>
  <c r="AK112" i="1"/>
  <c r="AO114" i="1" l="1"/>
  <c r="AO113" i="1"/>
  <c r="C5" i="5"/>
  <c r="C4" i="5"/>
  <c r="B156" i="1"/>
  <c r="B152" i="1"/>
  <c r="B154" i="1"/>
  <c r="B150" i="1"/>
  <c r="B148" i="1"/>
  <c r="B146" i="1"/>
  <c r="B144" i="1"/>
  <c r="B142" i="1"/>
  <c r="B140" i="1"/>
  <c r="C41" i="2"/>
  <c r="D41" i="2" s="1"/>
  <c r="C37" i="2"/>
  <c r="D37" i="2" s="1"/>
  <c r="C33" i="2"/>
  <c r="D33" i="2" s="1"/>
  <c r="C29" i="2"/>
  <c r="D29" i="2" s="1"/>
  <c r="C25" i="2"/>
  <c r="D25" i="2" s="1"/>
  <c r="C21" i="2"/>
  <c r="D21" i="2" s="1"/>
  <c r="C17" i="2"/>
  <c r="D17" i="2" s="1"/>
  <c r="C13" i="2"/>
  <c r="D13" i="2" s="1"/>
  <c r="D9" i="2"/>
  <c r="C9" i="2"/>
  <c r="B43" i="2"/>
  <c r="B44" i="2"/>
  <c r="B41" i="2"/>
  <c r="B39" i="2"/>
  <c r="B37" i="2"/>
  <c r="B35" i="2"/>
  <c r="B33" i="2"/>
  <c r="B31" i="2"/>
  <c r="B29" i="2"/>
  <c r="B27" i="2"/>
  <c r="B25" i="2"/>
  <c r="B23" i="2"/>
  <c r="B21" i="2"/>
  <c r="B19" i="2"/>
  <c r="B17" i="2"/>
  <c r="B15" i="2"/>
  <c r="B13" i="2"/>
  <c r="B11" i="2"/>
  <c r="B9" i="2"/>
  <c r="B7" i="2"/>
  <c r="M107" i="1"/>
  <c r="L131" i="1"/>
  <c r="N107" i="1" l="1"/>
  <c r="M133" i="1"/>
  <c r="O107" i="1" l="1"/>
  <c r="M131" i="1"/>
  <c r="L133" i="1"/>
  <c r="L130" i="1"/>
  <c r="P107" i="1" l="1"/>
  <c r="N131" i="1"/>
  <c r="L118" i="1"/>
  <c r="L119" i="1" s="1"/>
  <c r="L120" i="1"/>
  <c r="L121" i="1" s="1"/>
  <c r="AE132" i="1"/>
  <c r="AF132" i="1" s="1"/>
  <c r="AG132" i="1" s="1"/>
  <c r="AH132" i="1" s="1"/>
  <c r="AI132" i="1" s="1"/>
  <c r="AJ132" i="1" s="1"/>
  <c r="AK132" i="1" s="1"/>
  <c r="AL132" i="1" s="1"/>
  <c r="AM132" i="1" s="1"/>
  <c r="Q107" i="1" l="1"/>
  <c r="O131" i="1"/>
  <c r="L116" i="1"/>
  <c r="L117" i="1" s="1"/>
  <c r="L112" i="1"/>
  <c r="L114" i="1" s="1"/>
  <c r="L115" i="1" s="1"/>
  <c r="C12" i="5"/>
  <c r="C7" i="5"/>
  <c r="C8" i="5" s="1"/>
  <c r="C9" i="5" s="1"/>
  <c r="C21" i="5"/>
  <c r="C18" i="5"/>
  <c r="C15" i="5"/>
  <c r="C24" i="5"/>
  <c r="C3" i="5"/>
  <c r="R107" i="1" l="1"/>
  <c r="C30" i="5"/>
  <c r="L113" i="1"/>
  <c r="P131" i="1"/>
  <c r="L110" i="1"/>
  <c r="L111" i="1" s="1"/>
  <c r="C34" i="5"/>
  <c r="S107" i="1" l="1"/>
  <c r="Q131" i="1"/>
  <c r="C13" i="5"/>
  <c r="C14" i="5" s="1"/>
  <c r="AN108" i="1"/>
  <c r="L126" i="1"/>
  <c r="L124" i="1"/>
  <c r="L127" i="1"/>
  <c r="L125" i="1"/>
  <c r="AO132" i="1" l="1"/>
  <c r="AN132" i="1"/>
  <c r="T107" i="1"/>
  <c r="AN165" i="1"/>
  <c r="AN166" i="1" s="1"/>
  <c r="AN163" i="1"/>
  <c r="AN169" i="1"/>
  <c r="AN170" i="1" s="1"/>
  <c r="AN173" i="1"/>
  <c r="AN167" i="1"/>
  <c r="AN168" i="1" s="1"/>
  <c r="AN171" i="1"/>
  <c r="AN172" i="1" s="1"/>
  <c r="R131" i="1"/>
  <c r="AN109" i="1"/>
  <c r="AO122" i="1"/>
  <c r="AO120" i="1"/>
  <c r="AO118" i="1"/>
  <c r="AN116" i="1"/>
  <c r="AN112" i="1"/>
  <c r="AN114" i="1" s="1"/>
  <c r="C22" i="5"/>
  <c r="C23" i="5" s="1"/>
  <c r="C35" i="5"/>
  <c r="C40" i="5" s="1"/>
  <c r="C25" i="5"/>
  <c r="C19" i="5"/>
  <c r="C20" i="5" s="1"/>
  <c r="C16" i="5"/>
  <c r="C17" i="5" s="1"/>
  <c r="C31" i="5"/>
  <c r="AP25" i="4"/>
  <c r="E31" i="4"/>
  <c r="B17" i="4" s="1"/>
  <c r="K20" i="4" l="1"/>
  <c r="B18" i="4"/>
  <c r="B19" i="4" s="1"/>
  <c r="U107" i="1"/>
  <c r="AN164" i="1"/>
  <c r="AN176" i="1" s="1"/>
  <c r="AN175" i="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V107" i="1"/>
  <c r="E18" i="4"/>
  <c r="K21" i="4" s="1"/>
  <c r="N20" i="4"/>
  <c r="H17" i="4"/>
  <c r="L163" i="1"/>
  <c r="L164" i="1" s="1"/>
  <c r="W107" i="1" l="1"/>
  <c r="E19" i="4"/>
  <c r="Q20" i="4"/>
  <c r="H18" i="4"/>
  <c r="N22" i="4" s="1"/>
  <c r="K17" i="4"/>
  <c r="Y24" i="4"/>
  <c r="B14" i="3"/>
  <c r="X107" i="1" l="1"/>
  <c r="H19" i="4"/>
  <c r="T20" i="4"/>
  <c r="K18" i="4"/>
  <c r="K19" i="4" s="1"/>
  <c r="N21" i="4"/>
  <c r="AB24" i="4" s="1"/>
  <c r="N17" i="4"/>
  <c r="Y107" i="1" l="1"/>
  <c r="Q17" i="4"/>
  <c r="T17" i="4" s="1"/>
  <c r="W20" i="4"/>
  <c r="N18" i="4"/>
  <c r="N19" i="4" s="1"/>
  <c r="Q21" i="4"/>
  <c r="AE24" i="4" s="1"/>
  <c r="Q22" i="4"/>
  <c r="Z107" i="1" l="1"/>
  <c r="T18" i="4"/>
  <c r="T19" i="4" s="1"/>
  <c r="AC20" i="4"/>
  <c r="Z20" i="4"/>
  <c r="Q18" i="4"/>
  <c r="Q19" i="4" s="1"/>
  <c r="T21" i="4"/>
  <c r="AH24" i="4" s="1"/>
  <c r="T22" i="4"/>
  <c r="T23" i="4"/>
  <c r="W17" i="4"/>
  <c r="W21" i="4" l="1"/>
  <c r="AK24" i="4" s="1"/>
  <c r="W23" i="4"/>
  <c r="AD107" i="1"/>
  <c r="AD133" i="1" s="1"/>
  <c r="W18" i="4"/>
  <c r="W19" i="4" s="1"/>
  <c r="AF20" i="4"/>
  <c r="W22" i="4"/>
  <c r="Z21" i="4"/>
  <c r="AN24" i="4" s="1"/>
  <c r="Z23" i="4"/>
  <c r="Z22" i="4"/>
  <c r="Z17" i="4"/>
  <c r="C173" i="1"/>
  <c r="C171" i="1"/>
  <c r="C169" i="1"/>
  <c r="C167" i="1"/>
  <c r="C165" i="1"/>
  <c r="C163" i="1"/>
  <c r="L122" i="1"/>
  <c r="C5" i="3"/>
  <c r="D142" i="1" s="1"/>
  <c r="AB107" i="1" l="1"/>
  <c r="AA107" i="1"/>
  <c r="AC107" i="1"/>
  <c r="AE107" i="1"/>
  <c r="Z18" i="4"/>
  <c r="Z19" i="4" s="1"/>
  <c r="AI20" i="4"/>
  <c r="AN142" i="1"/>
  <c r="AN143" i="1"/>
  <c r="AC21" i="4"/>
  <c r="AC22" i="4"/>
  <c r="AC23" i="4"/>
  <c r="AC17" i="4"/>
  <c r="AN122" i="1"/>
  <c r="C7" i="3"/>
  <c r="D146" i="1" s="1"/>
  <c r="C4" i="3"/>
  <c r="D140" i="1" s="1"/>
  <c r="C12" i="3"/>
  <c r="D156" i="1" s="1"/>
  <c r="C11" i="3"/>
  <c r="D154" i="1" s="1"/>
  <c r="C10" i="3"/>
  <c r="D152" i="1" s="1"/>
  <c r="C9" i="3"/>
  <c r="D150" i="1" s="1"/>
  <c r="C8" i="3"/>
  <c r="D148" i="1" s="1"/>
  <c r="C6" i="3"/>
  <c r="D144" i="1" s="1"/>
  <c r="C98" i="1"/>
  <c r="C10" i="5" s="1"/>
  <c r="C26" i="5" s="1"/>
  <c r="C27" i="5" s="1"/>
  <c r="C99" i="1"/>
  <c r="C11" i="5" s="1"/>
  <c r="C28" i="5" s="1"/>
  <c r="C29" i="5" s="1"/>
  <c r="L143" i="1"/>
  <c r="L173" i="1"/>
  <c r="L171" i="1"/>
  <c r="L169" i="1"/>
  <c r="L170" i="1" s="1"/>
  <c r="L167" i="1"/>
  <c r="L168" i="1" s="1"/>
  <c r="L165" i="1"/>
  <c r="L166" i="1" s="1"/>
  <c r="C142" i="1"/>
  <c r="C144" i="1"/>
  <c r="C146" i="1"/>
  <c r="C148" i="1"/>
  <c r="C150" i="1"/>
  <c r="C152" i="1"/>
  <c r="C154" i="1"/>
  <c r="C156" i="1"/>
  <c r="C140" i="1"/>
  <c r="L109" i="1"/>
  <c r="M108" i="1"/>
  <c r="AA130" i="1" l="1"/>
  <c r="AA131" i="1"/>
  <c r="AC131" i="1"/>
  <c r="AC130" i="1"/>
  <c r="AB131" i="1"/>
  <c r="AB130" i="1"/>
  <c r="AA133" i="1"/>
  <c r="AC133" i="1"/>
  <c r="AB133" i="1"/>
  <c r="AF107" i="1"/>
  <c r="AN140" i="1"/>
  <c r="AN141" i="1"/>
  <c r="AL20" i="4"/>
  <c r="AC18" i="4"/>
  <c r="AC19" i="4" s="1"/>
  <c r="AN152" i="1"/>
  <c r="AN153" i="1"/>
  <c r="AN145" i="1"/>
  <c r="AN144" i="1"/>
  <c r="AN148" i="1"/>
  <c r="AN149" i="1"/>
  <c r="AN155" i="1"/>
  <c r="AN154" i="1"/>
  <c r="AN147" i="1"/>
  <c r="AN146" i="1"/>
  <c r="AN151" i="1"/>
  <c r="AN150" i="1"/>
  <c r="L157" i="1"/>
  <c r="AN157" i="1"/>
  <c r="AN156" i="1"/>
  <c r="M120" i="1"/>
  <c r="M121" i="1" s="1"/>
  <c r="M116" i="1"/>
  <c r="M117" i="1" s="1"/>
  <c r="M124" i="1"/>
  <c r="M127" i="1"/>
  <c r="M130" i="1"/>
  <c r="M125" i="1"/>
  <c r="M126" i="1"/>
  <c r="M112" i="1"/>
  <c r="AF22" i="4"/>
  <c r="AF23" i="4"/>
  <c r="AF21" i="4"/>
  <c r="AF17" i="4"/>
  <c r="L141" i="1"/>
  <c r="L140" i="1"/>
  <c r="L149" i="1"/>
  <c r="L148" i="1"/>
  <c r="L152" i="1"/>
  <c r="L151" i="1"/>
  <c r="L154" i="1"/>
  <c r="L144" i="1"/>
  <c r="N108" i="1"/>
  <c r="M167" i="1"/>
  <c r="M168" i="1" s="1"/>
  <c r="L145" i="1"/>
  <c r="M156" i="1"/>
  <c r="M165" i="1"/>
  <c r="M166" i="1" s="1"/>
  <c r="L153" i="1"/>
  <c r="M154" i="1"/>
  <c r="M173" i="1"/>
  <c r="L142" i="1"/>
  <c r="L150" i="1"/>
  <c r="M171" i="1"/>
  <c r="M172" i="1" s="1"/>
  <c r="M169" i="1"/>
  <c r="M170" i="1" s="1"/>
  <c r="M152" i="1"/>
  <c r="M145" i="1"/>
  <c r="M149" i="1"/>
  <c r="M153" i="1"/>
  <c r="M157" i="1"/>
  <c r="L175" i="1"/>
  <c r="M163" i="1"/>
  <c r="M164" i="1" s="1"/>
  <c r="L146" i="1"/>
  <c r="M142" i="1"/>
  <c r="L147" i="1"/>
  <c r="L155" i="1"/>
  <c r="M146" i="1"/>
  <c r="M143" i="1"/>
  <c r="M150" i="1"/>
  <c r="L156" i="1"/>
  <c r="M140" i="1"/>
  <c r="M147" i="1"/>
  <c r="M151" i="1"/>
  <c r="M155" i="1"/>
  <c r="M144" i="1"/>
  <c r="M141" i="1"/>
  <c r="M148" i="1"/>
  <c r="L172" i="1"/>
  <c r="L176" i="1" s="1"/>
  <c r="M109" i="1"/>
  <c r="M122" i="1"/>
  <c r="N116" i="1" l="1"/>
  <c r="N117" i="1" s="1"/>
  <c r="AG107" i="1"/>
  <c r="AH107" i="1" s="1"/>
  <c r="AO20" i="4"/>
  <c r="AF18" i="4"/>
  <c r="AF19" i="4" s="1"/>
  <c r="AN159" i="1"/>
  <c r="AN158" i="1"/>
  <c r="N165" i="1"/>
  <c r="N166" i="1" s="1"/>
  <c r="N146" i="1"/>
  <c r="N120" i="1"/>
  <c r="N121" i="1" s="1"/>
  <c r="N171" i="1"/>
  <c r="N172" i="1" s="1"/>
  <c r="N142" i="1"/>
  <c r="N141" i="1"/>
  <c r="N163" i="1"/>
  <c r="N164" i="1" s="1"/>
  <c r="N143" i="1"/>
  <c r="N109" i="1"/>
  <c r="M113" i="1"/>
  <c r="M114" i="1"/>
  <c r="M115" i="1" s="1"/>
  <c r="N133" i="1"/>
  <c r="O108" i="1"/>
  <c r="N112" i="1"/>
  <c r="N122" i="1"/>
  <c r="N156" i="1"/>
  <c r="N155" i="1"/>
  <c r="N167" i="1"/>
  <c r="N168" i="1" s="1"/>
  <c r="N151" i="1"/>
  <c r="N150" i="1"/>
  <c r="N126" i="1"/>
  <c r="N124" i="1"/>
  <c r="N127" i="1"/>
  <c r="N130" i="1"/>
  <c r="N125" i="1"/>
  <c r="AI23" i="4"/>
  <c r="AI21" i="4"/>
  <c r="AI22" i="4"/>
  <c r="AI17" i="4"/>
  <c r="AI18" i="4" s="1"/>
  <c r="L159" i="1"/>
  <c r="M159" i="1"/>
  <c r="N153" i="1"/>
  <c r="N152" i="1"/>
  <c r="N148" i="1"/>
  <c r="N145" i="1"/>
  <c r="N147" i="1"/>
  <c r="N140" i="1"/>
  <c r="N149" i="1"/>
  <c r="N154" i="1"/>
  <c r="N173" i="1"/>
  <c r="N144" i="1"/>
  <c r="N169" i="1"/>
  <c r="N170" i="1" s="1"/>
  <c r="N157" i="1"/>
  <c r="M175" i="1"/>
  <c r="L158" i="1"/>
  <c r="M158" i="1"/>
  <c r="M176" i="1"/>
  <c r="O116" i="1" l="1"/>
  <c r="O117" i="1" s="1"/>
  <c r="O157" i="1"/>
  <c r="O147" i="1"/>
  <c r="O145" i="1"/>
  <c r="O143" i="1"/>
  <c r="O165" i="1"/>
  <c r="O166" i="1" s="1"/>
  <c r="O153" i="1"/>
  <c r="O152" i="1"/>
  <c r="O144" i="1"/>
  <c r="O155" i="1"/>
  <c r="O150" i="1"/>
  <c r="O173" i="1"/>
  <c r="O140" i="1"/>
  <c r="O120" i="1"/>
  <c r="O121" i="1" s="1"/>
  <c r="O151" i="1"/>
  <c r="O149" i="1"/>
  <c r="O142" i="1"/>
  <c r="O163" i="1"/>
  <c r="O164" i="1" s="1"/>
  <c r="O146" i="1"/>
  <c r="P108" i="1"/>
  <c r="O156" i="1"/>
  <c r="O154" i="1"/>
  <c r="O122" i="1"/>
  <c r="O167" i="1"/>
  <c r="O168" i="1" s="1"/>
  <c r="N176" i="1"/>
  <c r="O141" i="1"/>
  <c r="O169" i="1"/>
  <c r="O170" i="1" s="1"/>
  <c r="O171" i="1"/>
  <c r="O172" i="1" s="1"/>
  <c r="O109" i="1"/>
  <c r="O148" i="1"/>
  <c r="O133" i="1"/>
  <c r="N113" i="1"/>
  <c r="N114" i="1"/>
  <c r="N115" i="1" s="1"/>
  <c r="O125" i="1"/>
  <c r="O126" i="1"/>
  <c r="O127" i="1"/>
  <c r="O130" i="1"/>
  <c r="O124" i="1"/>
  <c r="N175" i="1"/>
  <c r="O112" i="1"/>
  <c r="AL22" i="4"/>
  <c r="AL21" i="4"/>
  <c r="AL23" i="4"/>
  <c r="AL17" i="4"/>
  <c r="AL18" i="4" s="1"/>
  <c r="AI19" i="4"/>
  <c r="N158" i="1"/>
  <c r="N159" i="1"/>
  <c r="P152" i="1" l="1"/>
  <c r="AI107" i="1"/>
  <c r="P156" i="1"/>
  <c r="P153" i="1"/>
  <c r="P165" i="1"/>
  <c r="P166" i="1" s="1"/>
  <c r="P150" i="1"/>
  <c r="P151" i="1"/>
  <c r="P142" i="1"/>
  <c r="P148" i="1"/>
  <c r="P163" i="1"/>
  <c r="P164" i="1" s="1"/>
  <c r="O159" i="1"/>
  <c r="P149" i="1"/>
  <c r="P141" i="1"/>
  <c r="P171" i="1"/>
  <c r="P172" i="1" s="1"/>
  <c r="P155" i="1"/>
  <c r="P147" i="1"/>
  <c r="P154" i="1"/>
  <c r="P169" i="1"/>
  <c r="P170" i="1" s="1"/>
  <c r="O176" i="1"/>
  <c r="P116" i="1"/>
  <c r="P109" i="1"/>
  <c r="P143" i="1"/>
  <c r="P144" i="1"/>
  <c r="P167" i="1"/>
  <c r="P168" i="1" s="1"/>
  <c r="P112" i="1"/>
  <c r="P114" i="1" s="1"/>
  <c r="P122" i="1"/>
  <c r="P146" i="1"/>
  <c r="Q108" i="1"/>
  <c r="Q140" i="1" s="1"/>
  <c r="P157" i="1"/>
  <c r="O158" i="1"/>
  <c r="P145" i="1"/>
  <c r="P173" i="1"/>
  <c r="O175" i="1"/>
  <c r="P140" i="1"/>
  <c r="P133" i="1"/>
  <c r="O113" i="1"/>
  <c r="O114" i="1"/>
  <c r="O115" i="1" s="1"/>
  <c r="P125" i="1"/>
  <c r="P130" i="1"/>
  <c r="P126" i="1"/>
  <c r="P127" i="1"/>
  <c r="P124" i="1"/>
  <c r="AO21" i="4"/>
  <c r="AO22" i="4"/>
  <c r="AO23" i="4"/>
  <c r="AO17" i="4"/>
  <c r="AO18" i="4" s="1"/>
  <c r="AO19" i="4" s="1"/>
  <c r="AL19" i="4"/>
  <c r="Q150" i="1"/>
  <c r="Q153" i="1" l="1"/>
  <c r="AJ107" i="1"/>
  <c r="AI130" i="1"/>
  <c r="AI131" i="1"/>
  <c r="AI133" i="1"/>
  <c r="Q143" i="1"/>
  <c r="P158" i="1"/>
  <c r="P176" i="1"/>
  <c r="Q156" i="1"/>
  <c r="Q122" i="1"/>
  <c r="R108" i="1"/>
  <c r="R112" i="1" s="1"/>
  <c r="Q145" i="1"/>
  <c r="Q171" i="1"/>
  <c r="Q172" i="1" s="1"/>
  <c r="Q151" i="1"/>
  <c r="Q152" i="1"/>
  <c r="P175" i="1"/>
  <c r="Q148" i="1"/>
  <c r="P159" i="1"/>
  <c r="Q109" i="1"/>
  <c r="Q146" i="1"/>
  <c r="Q169" i="1"/>
  <c r="Q170" i="1" s="1"/>
  <c r="Q116" i="1"/>
  <c r="Q165" i="1"/>
  <c r="Q166" i="1" s="1"/>
  <c r="Q147" i="1"/>
  <c r="Q112" i="1"/>
  <c r="Q113" i="1" s="1"/>
  <c r="Q155" i="1"/>
  <c r="Q154" i="1"/>
  <c r="Q149" i="1"/>
  <c r="Q167" i="1"/>
  <c r="Q168" i="1" s="1"/>
  <c r="Q142" i="1"/>
  <c r="Q163" i="1"/>
  <c r="Q164" i="1" s="1"/>
  <c r="Q173" i="1"/>
  <c r="Q144" i="1"/>
  <c r="P113" i="1"/>
  <c r="Q141" i="1"/>
  <c r="Q157" i="1"/>
  <c r="Q133" i="1"/>
  <c r="Q125" i="1"/>
  <c r="Q126" i="1"/>
  <c r="Q124" i="1"/>
  <c r="Q127" i="1"/>
  <c r="Q130" i="1"/>
  <c r="R154" i="1" l="1"/>
  <c r="R116" i="1"/>
  <c r="AK107" i="1"/>
  <c r="AJ133" i="1"/>
  <c r="AJ131" i="1"/>
  <c r="AJ130" i="1"/>
  <c r="R122" i="1"/>
  <c r="R151" i="1"/>
  <c r="R163" i="1"/>
  <c r="R173" i="1"/>
  <c r="R148" i="1"/>
  <c r="R149" i="1"/>
  <c r="R141" i="1"/>
  <c r="R155" i="1"/>
  <c r="R142" i="1"/>
  <c r="R140" i="1"/>
  <c r="R145" i="1"/>
  <c r="R152" i="1"/>
  <c r="R153" i="1"/>
  <c r="R109" i="1"/>
  <c r="R165" i="1"/>
  <c r="R166" i="1" s="1"/>
  <c r="R150" i="1"/>
  <c r="R143" i="1"/>
  <c r="R169" i="1"/>
  <c r="R170" i="1" s="1"/>
  <c r="R167" i="1"/>
  <c r="R168" i="1" s="1"/>
  <c r="R147" i="1"/>
  <c r="R146" i="1"/>
  <c r="S108" i="1"/>
  <c r="R157" i="1"/>
  <c r="R156" i="1"/>
  <c r="R171" i="1"/>
  <c r="R172" i="1" s="1"/>
  <c r="R144" i="1"/>
  <c r="Q176" i="1"/>
  <c r="Q159" i="1"/>
  <c r="Q175" i="1"/>
  <c r="Q158" i="1"/>
  <c r="Q114" i="1"/>
  <c r="R133" i="1"/>
  <c r="R113" i="1"/>
  <c r="R114" i="1"/>
  <c r="R125" i="1"/>
  <c r="R126" i="1"/>
  <c r="R127" i="1"/>
  <c r="R124" i="1"/>
  <c r="R130" i="1"/>
  <c r="R164" i="1"/>
  <c r="S150" i="1" l="1"/>
  <c r="AL107" i="1"/>
  <c r="AK130" i="1"/>
  <c r="AK133" i="1"/>
  <c r="AK131" i="1"/>
  <c r="S153" i="1"/>
  <c r="S165" i="1"/>
  <c r="S166" i="1" s="1"/>
  <c r="S140" i="1"/>
  <c r="S163" i="1"/>
  <c r="S164" i="1" s="1"/>
  <c r="S122" i="1"/>
  <c r="S151" i="1"/>
  <c r="S156" i="1"/>
  <c r="S173" i="1"/>
  <c r="S145" i="1"/>
  <c r="T108" i="1"/>
  <c r="S152" i="1"/>
  <c r="S157" i="1"/>
  <c r="S141" i="1"/>
  <c r="R158" i="1"/>
  <c r="S147" i="1"/>
  <c r="R159" i="1"/>
  <c r="R175" i="1"/>
  <c r="S143" i="1"/>
  <c r="S154" i="1"/>
  <c r="S149" i="1"/>
  <c r="S148" i="1"/>
  <c r="S167" i="1"/>
  <c r="S168" i="1" s="1"/>
  <c r="R176" i="1"/>
  <c r="S112" i="1"/>
  <c r="S113" i="1" s="1"/>
  <c r="S169" i="1"/>
  <c r="S170" i="1" s="1"/>
  <c r="S116" i="1"/>
  <c r="S109" i="1"/>
  <c r="S142" i="1"/>
  <c r="S144" i="1"/>
  <c r="S155" i="1"/>
  <c r="S171" i="1"/>
  <c r="S172" i="1" s="1"/>
  <c r="S146" i="1"/>
  <c r="T133" i="1"/>
  <c r="S133" i="1"/>
  <c r="S131" i="1"/>
  <c r="S130" i="1"/>
  <c r="S125" i="1"/>
  <c r="S127" i="1"/>
  <c r="S126" i="1"/>
  <c r="S124" i="1"/>
  <c r="T116" i="1" l="1"/>
  <c r="AM107" i="1"/>
  <c r="AL133" i="1"/>
  <c r="AL130" i="1"/>
  <c r="AL131" i="1"/>
  <c r="T153" i="1"/>
  <c r="T156" i="1"/>
  <c r="T157" i="1"/>
  <c r="T109" i="1"/>
  <c r="T171" i="1"/>
  <c r="T172" i="1" s="1"/>
  <c r="T169" i="1"/>
  <c r="T170" i="1" s="1"/>
  <c r="T167" i="1"/>
  <c r="T168" i="1" s="1"/>
  <c r="T148" i="1"/>
  <c r="T165" i="1"/>
  <c r="T166" i="1" s="1"/>
  <c r="T151" i="1"/>
  <c r="T143" i="1"/>
  <c r="T141" i="1"/>
  <c r="T140" i="1"/>
  <c r="T149" i="1"/>
  <c r="T155" i="1"/>
  <c r="T122" i="1"/>
  <c r="T142" i="1"/>
  <c r="T150" i="1"/>
  <c r="T154" i="1"/>
  <c r="T163" i="1"/>
  <c r="T164" i="1" s="1"/>
  <c r="T147" i="1"/>
  <c r="T152" i="1"/>
  <c r="T146" i="1"/>
  <c r="T145" i="1"/>
  <c r="U108" i="1"/>
  <c r="T144" i="1"/>
  <c r="T173" i="1"/>
  <c r="T112" i="1"/>
  <c r="T113" i="1" s="1"/>
  <c r="S159" i="1"/>
  <c r="S114" i="1"/>
  <c r="S158" i="1"/>
  <c r="S175" i="1"/>
  <c r="S176" i="1"/>
  <c r="T130" i="1"/>
  <c r="T131" i="1"/>
  <c r="T125" i="1"/>
  <c r="T127" i="1"/>
  <c r="T124" i="1"/>
  <c r="T126" i="1"/>
  <c r="U173" i="1"/>
  <c r="U169" i="1"/>
  <c r="U170" i="1" s="1"/>
  <c r="U146" i="1"/>
  <c r="U122" i="1" l="1"/>
  <c r="U112" i="1"/>
  <c r="U114" i="1" s="1"/>
  <c r="U109" i="1"/>
  <c r="AN107" i="1"/>
  <c r="AM130" i="1"/>
  <c r="AM133" i="1"/>
  <c r="AM131" i="1"/>
  <c r="T176" i="1"/>
  <c r="T175" i="1"/>
  <c r="T159" i="1"/>
  <c r="T158" i="1"/>
  <c r="U143" i="1"/>
  <c r="U145" i="1"/>
  <c r="U153" i="1"/>
  <c r="U140" i="1"/>
  <c r="V108" i="1"/>
  <c r="U154" i="1"/>
  <c r="U167" i="1"/>
  <c r="U168" i="1" s="1"/>
  <c r="U163" i="1"/>
  <c r="U164" i="1" s="1"/>
  <c r="U156" i="1"/>
  <c r="U165" i="1"/>
  <c r="U166" i="1" s="1"/>
  <c r="U151" i="1"/>
  <c r="U147" i="1"/>
  <c r="U152" i="1"/>
  <c r="U142" i="1"/>
  <c r="U116" i="1"/>
  <c r="U150" i="1"/>
  <c r="U148" i="1"/>
  <c r="U141" i="1"/>
  <c r="U157" i="1"/>
  <c r="U149" i="1"/>
  <c r="U171" i="1"/>
  <c r="U172" i="1" s="1"/>
  <c r="U155" i="1"/>
  <c r="U144" i="1"/>
  <c r="T114" i="1"/>
  <c r="U113" i="1"/>
  <c r="U133" i="1"/>
  <c r="U131" i="1"/>
  <c r="U130" i="1"/>
  <c r="U126" i="1"/>
  <c r="U127" i="1"/>
  <c r="U124" i="1"/>
  <c r="U125" i="1"/>
  <c r="V116" i="1" l="1"/>
  <c r="V145" i="1"/>
  <c r="V150" i="1"/>
  <c r="V148" i="1"/>
  <c r="V165" i="1"/>
  <c r="V166" i="1" s="1"/>
  <c r="V152" i="1"/>
  <c r="U158" i="1"/>
  <c r="V156" i="1"/>
  <c r="V163" i="1"/>
  <c r="V164" i="1" s="1"/>
  <c r="V142" i="1"/>
  <c r="V149" i="1"/>
  <c r="V122" i="1"/>
  <c r="V167" i="1"/>
  <c r="V168" i="1" s="1"/>
  <c r="V154" i="1"/>
  <c r="V151" i="1"/>
  <c r="V157" i="1"/>
  <c r="V143" i="1"/>
  <c r="V147" i="1"/>
  <c r="V169" i="1"/>
  <c r="V170" i="1" s="1"/>
  <c r="V155" i="1"/>
  <c r="W108" i="1"/>
  <c r="W154" i="1" s="1"/>
  <c r="V140" i="1"/>
  <c r="V112" i="1"/>
  <c r="V114" i="1" s="1"/>
  <c r="U159" i="1"/>
  <c r="V153" i="1"/>
  <c r="V146" i="1"/>
  <c r="V171" i="1"/>
  <c r="V172" i="1" s="1"/>
  <c r="V141" i="1"/>
  <c r="V144" i="1"/>
  <c r="V173" i="1"/>
  <c r="V109" i="1"/>
  <c r="U175" i="1"/>
  <c r="U176" i="1"/>
  <c r="V133" i="1"/>
  <c r="V131" i="1"/>
  <c r="V130" i="1"/>
  <c r="V127" i="1"/>
  <c r="V124" i="1"/>
  <c r="V126" i="1"/>
  <c r="V125" i="1"/>
  <c r="W167" i="1" l="1"/>
  <c r="W168" i="1" s="1"/>
  <c r="W152" i="1"/>
  <c r="W109" i="1"/>
  <c r="W145" i="1"/>
  <c r="W171" i="1"/>
  <c r="W172" i="1" s="1"/>
  <c r="V113" i="1"/>
  <c r="W173" i="1"/>
  <c r="W157" i="1"/>
  <c r="W147" i="1"/>
  <c r="W148" i="1"/>
  <c r="W146" i="1"/>
  <c r="W143" i="1"/>
  <c r="W156" i="1"/>
  <c r="W140" i="1"/>
  <c r="V175" i="1"/>
  <c r="V158" i="1"/>
  <c r="W150" i="1"/>
  <c r="W155" i="1"/>
  <c r="W122" i="1"/>
  <c r="W153" i="1"/>
  <c r="W116" i="1"/>
  <c r="W144" i="1"/>
  <c r="W142" i="1"/>
  <c r="X108" i="1"/>
  <c r="X173" i="1" s="1"/>
  <c r="W141" i="1"/>
  <c r="W112" i="1"/>
  <c r="W114" i="1" s="1"/>
  <c r="W151" i="1"/>
  <c r="W169" i="1"/>
  <c r="W170" i="1" s="1"/>
  <c r="W149" i="1"/>
  <c r="V159" i="1"/>
  <c r="V176" i="1"/>
  <c r="W165" i="1"/>
  <c r="W166" i="1" s="1"/>
  <c r="W163" i="1"/>
  <c r="W164" i="1" s="1"/>
  <c r="W131" i="1"/>
  <c r="W133" i="1"/>
  <c r="W124" i="1"/>
  <c r="W126" i="1"/>
  <c r="W130" i="1"/>
  <c r="W125" i="1"/>
  <c r="W127" i="1"/>
  <c r="X148" i="1" l="1"/>
  <c r="X165" i="1"/>
  <c r="X166" i="1" s="1"/>
  <c r="X154" i="1"/>
  <c r="X147" i="1"/>
  <c r="X144" i="1"/>
  <c r="X116" i="1"/>
  <c r="X150" i="1"/>
  <c r="X167" i="1"/>
  <c r="X168" i="1" s="1"/>
  <c r="X152" i="1"/>
  <c r="X151" i="1"/>
  <c r="X155" i="1"/>
  <c r="X142" i="1"/>
  <c r="X112" i="1"/>
  <c r="X113" i="1" s="1"/>
  <c r="X169" i="1"/>
  <c r="X170" i="1" s="1"/>
  <c r="X109" i="1"/>
  <c r="W159" i="1"/>
  <c r="W158" i="1"/>
  <c r="X140" i="1"/>
  <c r="X141" i="1"/>
  <c r="X149" i="1"/>
  <c r="X145" i="1"/>
  <c r="X143" i="1"/>
  <c r="X146" i="1"/>
  <c r="W113" i="1"/>
  <c r="X156" i="1"/>
  <c r="Y108" i="1"/>
  <c r="X171" i="1"/>
  <c r="X172" i="1" s="1"/>
  <c r="W175" i="1"/>
  <c r="X163" i="1"/>
  <c r="X164" i="1" s="1"/>
  <c r="X153" i="1"/>
  <c r="X157" i="1"/>
  <c r="X122" i="1"/>
  <c r="W176" i="1"/>
  <c r="X131" i="1"/>
  <c r="X133" i="1"/>
  <c r="X124" i="1"/>
  <c r="X126" i="1"/>
  <c r="X127" i="1"/>
  <c r="X130" i="1"/>
  <c r="X125" i="1"/>
  <c r="Y116" i="1" l="1"/>
  <c r="X114" i="1"/>
  <c r="X159" i="1"/>
  <c r="X158" i="1"/>
  <c r="Y141" i="1"/>
  <c r="Y142" i="1"/>
  <c r="Y154" i="1"/>
  <c r="Y157" i="1"/>
  <c r="Y140" i="1"/>
  <c r="Y151" i="1"/>
  <c r="Y173" i="1"/>
  <c r="Y149" i="1"/>
  <c r="Y146" i="1"/>
  <c r="Y144" i="1"/>
  <c r="Y165" i="1"/>
  <c r="Y166" i="1" s="1"/>
  <c r="Y147" i="1"/>
  <c r="Y143" i="1"/>
  <c r="Y153" i="1"/>
  <c r="Y150" i="1"/>
  <c r="Y145" i="1"/>
  <c r="Y109" i="1"/>
  <c r="Z108" i="1"/>
  <c r="Y112" i="1"/>
  <c r="Y113" i="1" s="1"/>
  <c r="Y167" i="1"/>
  <c r="Y168" i="1" s="1"/>
  <c r="Y152" i="1"/>
  <c r="Y122" i="1"/>
  <c r="Y156" i="1"/>
  <c r="X176" i="1"/>
  <c r="X175" i="1"/>
  <c r="Y163" i="1"/>
  <c r="Y164" i="1" s="1"/>
  <c r="Y148" i="1"/>
  <c r="Y155" i="1"/>
  <c r="Y171" i="1"/>
  <c r="Y172" i="1" s="1"/>
  <c r="Y169" i="1"/>
  <c r="Y170" i="1" s="1"/>
  <c r="Y131" i="1"/>
  <c r="Y133" i="1"/>
  <c r="Y127" i="1"/>
  <c r="Y126" i="1"/>
  <c r="Y124" i="1"/>
  <c r="Y130" i="1"/>
  <c r="Y125" i="1"/>
  <c r="Z116" i="1" l="1"/>
  <c r="Z147" i="1"/>
  <c r="Z146" i="1"/>
  <c r="Z148" i="1"/>
  <c r="Z152" i="1"/>
  <c r="AD108" i="1"/>
  <c r="AD142" i="1" s="1"/>
  <c r="Z143" i="1"/>
  <c r="Z122" i="1"/>
  <c r="Z145" i="1"/>
  <c r="Z171" i="1"/>
  <c r="Z172" i="1" s="1"/>
  <c r="Z151" i="1"/>
  <c r="Z109" i="1"/>
  <c r="Z149" i="1"/>
  <c r="Z165" i="1"/>
  <c r="Z166" i="1" s="1"/>
  <c r="Z112" i="1"/>
  <c r="Z113" i="1" s="1"/>
  <c r="Z141" i="1"/>
  <c r="Z173" i="1"/>
  <c r="Z167" i="1"/>
  <c r="Z168" i="1" s="1"/>
  <c r="Z169" i="1"/>
  <c r="Z170" i="1" s="1"/>
  <c r="Z153" i="1"/>
  <c r="Y159" i="1"/>
  <c r="Z155" i="1"/>
  <c r="Z154" i="1"/>
  <c r="Z156" i="1"/>
  <c r="Z150" i="1"/>
  <c r="Z140" i="1"/>
  <c r="Z157" i="1"/>
  <c r="Y158" i="1"/>
  <c r="Y114" i="1"/>
  <c r="Y176" i="1"/>
  <c r="Y175" i="1"/>
  <c r="Z142" i="1"/>
  <c r="Z144" i="1"/>
  <c r="Z163" i="1"/>
  <c r="Z164" i="1" s="1"/>
  <c r="Z131" i="1"/>
  <c r="S117" i="1" s="1"/>
  <c r="Z133" i="1"/>
  <c r="Z127" i="1"/>
  <c r="Z124" i="1"/>
  <c r="Z126" i="1"/>
  <c r="Z130" i="1"/>
  <c r="Z125" i="1"/>
  <c r="AD149" i="1"/>
  <c r="AD147" i="1"/>
  <c r="AD152" i="1"/>
  <c r="AD169" i="1" l="1"/>
  <c r="AD170" i="1" s="1"/>
  <c r="AD143" i="1"/>
  <c r="V118" i="1"/>
  <c r="V119" i="1" s="1"/>
  <c r="AD171" i="1"/>
  <c r="AD172" i="1" s="1"/>
  <c r="AD140" i="1"/>
  <c r="AD150" i="1"/>
  <c r="AD155" i="1"/>
  <c r="Y115" i="1"/>
  <c r="AD165" i="1"/>
  <c r="AD166" i="1" s="1"/>
  <c r="AD154" i="1"/>
  <c r="AD157" i="1"/>
  <c r="AD144" i="1"/>
  <c r="AD156" i="1"/>
  <c r="AD109" i="1"/>
  <c r="AD116" i="1"/>
  <c r="AD141" i="1"/>
  <c r="AD153" i="1"/>
  <c r="AD145" i="1"/>
  <c r="AD112" i="1"/>
  <c r="AD113" i="1" s="1"/>
  <c r="AD151" i="1"/>
  <c r="AD167" i="1"/>
  <c r="AD168" i="1" s="1"/>
  <c r="AD173" i="1"/>
  <c r="AD146" i="1"/>
  <c r="AE108" i="1"/>
  <c r="AE153" i="1" s="1"/>
  <c r="U120" i="1"/>
  <c r="U121" i="1" s="1"/>
  <c r="AB108" i="1"/>
  <c r="AD148" i="1"/>
  <c r="AD163" i="1"/>
  <c r="AD122" i="1"/>
  <c r="V117" i="1"/>
  <c r="AA108" i="1"/>
  <c r="U115" i="1"/>
  <c r="AC108" i="1"/>
  <c r="S120" i="1"/>
  <c r="S121" i="1" s="1"/>
  <c r="AA123" i="1"/>
  <c r="AA120" i="1"/>
  <c r="AA121" i="1" s="1"/>
  <c r="AB123" i="1"/>
  <c r="AC123" i="1"/>
  <c r="Q120" i="1"/>
  <c r="Q121" i="1" s="1"/>
  <c r="Z176" i="1"/>
  <c r="Z159" i="1"/>
  <c r="Z114" i="1"/>
  <c r="T117" i="1"/>
  <c r="R120" i="1"/>
  <c r="R121" i="1" s="1"/>
  <c r="V120" i="1"/>
  <c r="V121" i="1" s="1"/>
  <c r="R115" i="1"/>
  <c r="Q118" i="1"/>
  <c r="Q119" i="1" s="1"/>
  <c r="Q115" i="1"/>
  <c r="R117" i="1"/>
  <c r="P115" i="1"/>
  <c r="R118" i="1"/>
  <c r="R119" i="1" s="1"/>
  <c r="T118" i="1"/>
  <c r="T119" i="1" s="1"/>
  <c r="T120" i="1"/>
  <c r="T121" i="1" s="1"/>
  <c r="P117" i="1"/>
  <c r="O118" i="1"/>
  <c r="U117" i="1"/>
  <c r="P118" i="1"/>
  <c r="P119" i="1" s="1"/>
  <c r="Q117" i="1"/>
  <c r="P120" i="1"/>
  <c r="P121" i="1" s="1"/>
  <c r="X115" i="1"/>
  <c r="W115" i="1"/>
  <c r="Z123" i="1"/>
  <c r="N118" i="1"/>
  <c r="S118" i="1"/>
  <c r="S119" i="1" s="1"/>
  <c r="V115" i="1"/>
  <c r="Z158" i="1"/>
  <c r="Y123" i="1"/>
  <c r="M118" i="1"/>
  <c r="M119" i="1" s="1"/>
  <c r="M110" i="1" s="1"/>
  <c r="M111" i="1" s="1"/>
  <c r="X123" i="1"/>
  <c r="U118" i="1"/>
  <c r="U119" i="1" s="1"/>
  <c r="T115" i="1"/>
  <c r="S115" i="1"/>
  <c r="Z175" i="1"/>
  <c r="AD131" i="1"/>
  <c r="AD124" i="1"/>
  <c r="AD126" i="1"/>
  <c r="AD130" i="1"/>
  <c r="AD125" i="1"/>
  <c r="AD127" i="1"/>
  <c r="AD164" i="1"/>
  <c r="AE143" i="1" l="1"/>
  <c r="AE155" i="1"/>
  <c r="AE122" i="1"/>
  <c r="AF108" i="1"/>
  <c r="AE154" i="1"/>
  <c r="AD114" i="1"/>
  <c r="AE157" i="1"/>
  <c r="AE169" i="1"/>
  <c r="AE170" i="1" s="1"/>
  <c r="AE144" i="1"/>
  <c r="AE140" i="1"/>
  <c r="AE165" i="1"/>
  <c r="AE166" i="1" s="1"/>
  <c r="AE148" i="1"/>
  <c r="AE150" i="1"/>
  <c r="AE109" i="1"/>
  <c r="AE171" i="1"/>
  <c r="AE172" i="1" s="1"/>
  <c r="AE167" i="1"/>
  <c r="AE168" i="1" s="1"/>
  <c r="AE173" i="1"/>
  <c r="AE156" i="1"/>
  <c r="AE141" i="1"/>
  <c r="AE142" i="1"/>
  <c r="AE149" i="1"/>
  <c r="AE116" i="1"/>
  <c r="AE163" i="1"/>
  <c r="AE164" i="1" s="1"/>
  <c r="AE146" i="1"/>
  <c r="AD158" i="1"/>
  <c r="AD159" i="1"/>
  <c r="AE152" i="1"/>
  <c r="AD175" i="1"/>
  <c r="AE112" i="1"/>
  <c r="AE113" i="1" s="1"/>
  <c r="AE145" i="1"/>
  <c r="AE147" i="1"/>
  <c r="AE151" i="1"/>
  <c r="AD176" i="1"/>
  <c r="AB165" i="1"/>
  <c r="AB166" i="1" s="1"/>
  <c r="AB171" i="1"/>
  <c r="AB172" i="1" s="1"/>
  <c r="AB167" i="1"/>
  <c r="AB168" i="1" s="1"/>
  <c r="AB122" i="1"/>
  <c r="AB109" i="1"/>
  <c r="AB112" i="1"/>
  <c r="AB163" i="1"/>
  <c r="AB116" i="1"/>
  <c r="AB173" i="1"/>
  <c r="AB169" i="1"/>
  <c r="AB170" i="1" s="1"/>
  <c r="AB143" i="1"/>
  <c r="AB142" i="1"/>
  <c r="AB151" i="1"/>
  <c r="AB144" i="1"/>
  <c r="AB148" i="1"/>
  <c r="AB150" i="1"/>
  <c r="AB154" i="1"/>
  <c r="AB145" i="1"/>
  <c r="AB149" i="1"/>
  <c r="AB155" i="1"/>
  <c r="AB156" i="1"/>
  <c r="AB152" i="1"/>
  <c r="AB140" i="1"/>
  <c r="AB146" i="1"/>
  <c r="AB157" i="1"/>
  <c r="AB153" i="1"/>
  <c r="AB147" i="1"/>
  <c r="AB141" i="1"/>
  <c r="AC165" i="1"/>
  <c r="AC166" i="1" s="1"/>
  <c r="AC171" i="1"/>
  <c r="AC172" i="1" s="1"/>
  <c r="AC112" i="1"/>
  <c r="AC167" i="1"/>
  <c r="AC168" i="1" s="1"/>
  <c r="AC169" i="1"/>
  <c r="AC170" i="1" s="1"/>
  <c r="AC163" i="1"/>
  <c r="AC116" i="1"/>
  <c r="AC173" i="1"/>
  <c r="AC122" i="1"/>
  <c r="AC109" i="1"/>
  <c r="AC142" i="1"/>
  <c r="AC143" i="1"/>
  <c r="AC154" i="1"/>
  <c r="AC155" i="1"/>
  <c r="AC144" i="1"/>
  <c r="AC148" i="1"/>
  <c r="AC140" i="1"/>
  <c r="AC151" i="1"/>
  <c r="AC150" i="1"/>
  <c r="AC145" i="1"/>
  <c r="AC149" i="1"/>
  <c r="AC147" i="1"/>
  <c r="AC156" i="1"/>
  <c r="AC152" i="1"/>
  <c r="AC146" i="1"/>
  <c r="AC157" i="1"/>
  <c r="AC153" i="1"/>
  <c r="AC141" i="1"/>
  <c r="AA109" i="1"/>
  <c r="AA116" i="1"/>
  <c r="AA117" i="1" s="1"/>
  <c r="AA163" i="1"/>
  <c r="AA112" i="1"/>
  <c r="AA173" i="1"/>
  <c r="AA169" i="1"/>
  <c r="AA170" i="1" s="1"/>
  <c r="AA122" i="1"/>
  <c r="AA165" i="1"/>
  <c r="AA166" i="1" s="1"/>
  <c r="AA171" i="1"/>
  <c r="AA172" i="1" s="1"/>
  <c r="AA167" i="1"/>
  <c r="AA168" i="1" s="1"/>
  <c r="AA142" i="1"/>
  <c r="AA143" i="1"/>
  <c r="AA144" i="1"/>
  <c r="AA148" i="1"/>
  <c r="AA150" i="1"/>
  <c r="AA154" i="1"/>
  <c r="AA145" i="1"/>
  <c r="AA149" i="1"/>
  <c r="AA155" i="1"/>
  <c r="AA151" i="1"/>
  <c r="AA152" i="1"/>
  <c r="AA140" i="1"/>
  <c r="AA146" i="1"/>
  <c r="AA157" i="1"/>
  <c r="AA153" i="1"/>
  <c r="AA141" i="1"/>
  <c r="AA156" i="1"/>
  <c r="AA147" i="1"/>
  <c r="U110" i="1"/>
  <c r="U111" i="1" s="1"/>
  <c r="Q110" i="1"/>
  <c r="Q111" i="1" s="1"/>
  <c r="S110" i="1"/>
  <c r="S111" i="1" s="1"/>
  <c r="T110" i="1"/>
  <c r="T111" i="1" s="1"/>
  <c r="R110" i="1"/>
  <c r="R111" i="1" s="1"/>
  <c r="P110" i="1"/>
  <c r="P111" i="1" s="1"/>
  <c r="V110" i="1"/>
  <c r="V111" i="1" s="1"/>
  <c r="N119" i="1"/>
  <c r="N110" i="1" s="1"/>
  <c r="N111" i="1" s="1"/>
  <c r="O119" i="1"/>
  <c r="O110" i="1" s="1"/>
  <c r="O111" i="1" s="1"/>
  <c r="AF112" i="1"/>
  <c r="AF114" i="1" s="1"/>
  <c r="AF116" i="1"/>
  <c r="AE133" i="1"/>
  <c r="AE131" i="1"/>
  <c r="AE114" i="1"/>
  <c r="AE130" i="1"/>
  <c r="AE125" i="1"/>
  <c r="AE124" i="1"/>
  <c r="AE126" i="1"/>
  <c r="AE127" i="1"/>
  <c r="AF122" i="1"/>
  <c r="AG108" i="1"/>
  <c r="AF163" i="1"/>
  <c r="AF169" i="1"/>
  <c r="AF170" i="1" s="1"/>
  <c r="AF165" i="1"/>
  <c r="AF166" i="1" s="1"/>
  <c r="AF109" i="1"/>
  <c r="AF171" i="1"/>
  <c r="AF172" i="1" s="1"/>
  <c r="AF167" i="1"/>
  <c r="AF168" i="1" s="1"/>
  <c r="AF173" i="1"/>
  <c r="AF142" i="1"/>
  <c r="AF143" i="1"/>
  <c r="AF149" i="1"/>
  <c r="AF144" i="1"/>
  <c r="AF157" i="1"/>
  <c r="AF148" i="1"/>
  <c r="AF156" i="1"/>
  <c r="AF154" i="1"/>
  <c r="AF140" i="1"/>
  <c r="AF145" i="1"/>
  <c r="AF155" i="1"/>
  <c r="AF150" i="1"/>
  <c r="AF141" i="1"/>
  <c r="AF151" i="1"/>
  <c r="AF152" i="1"/>
  <c r="AF146" i="1"/>
  <c r="AF153" i="1"/>
  <c r="AF147" i="1"/>
  <c r="AE175" i="1" l="1"/>
  <c r="AE158" i="1"/>
  <c r="AE176" i="1"/>
  <c r="AE159" i="1"/>
  <c r="AC159" i="1"/>
  <c r="AA159" i="1"/>
  <c r="AA113" i="1"/>
  <c r="AA114" i="1"/>
  <c r="AA115" i="1" s="1"/>
  <c r="AA175" i="1"/>
  <c r="AA164" i="1"/>
  <c r="AB158" i="1"/>
  <c r="AC164" i="1"/>
  <c r="AC176" i="1" s="1"/>
  <c r="AC175" i="1"/>
  <c r="AC158" i="1"/>
  <c r="AC113" i="1"/>
  <c r="AC114" i="1"/>
  <c r="AB164" i="1"/>
  <c r="AB176" i="1" s="1"/>
  <c r="AB175" i="1"/>
  <c r="AA158" i="1"/>
  <c r="AB113" i="1"/>
  <c r="AB114" i="1"/>
  <c r="AA176" i="1"/>
  <c r="AB159" i="1"/>
  <c r="Z115" i="1"/>
  <c r="X117" i="1"/>
  <c r="Y117" i="1"/>
  <c r="Z117" i="1"/>
  <c r="W117" i="1"/>
  <c r="W120" i="1"/>
  <c r="W121" i="1" s="1"/>
  <c r="W118" i="1"/>
  <c r="W119" i="1" s="1"/>
  <c r="X118" i="1"/>
  <c r="X119" i="1" s="1"/>
  <c r="X120" i="1"/>
  <c r="X121" i="1" s="1"/>
  <c r="Y120" i="1"/>
  <c r="Y121" i="1" s="1"/>
  <c r="Y118" i="1"/>
  <c r="Y119" i="1" s="1"/>
  <c r="Z120" i="1"/>
  <c r="Z121" i="1" s="1"/>
  <c r="AD123" i="1"/>
  <c r="AG112" i="1"/>
  <c r="AG114" i="1" s="1"/>
  <c r="AG116" i="1"/>
  <c r="AF131" i="1"/>
  <c r="AF133" i="1"/>
  <c r="AF113" i="1"/>
  <c r="AF125" i="1"/>
  <c r="AF126" i="1"/>
  <c r="AF124" i="1"/>
  <c r="AF127" i="1"/>
  <c r="AF130" i="1"/>
  <c r="AG122" i="1"/>
  <c r="AF164" i="1"/>
  <c r="AF176" i="1" s="1"/>
  <c r="AF175" i="1"/>
  <c r="AF158" i="1"/>
  <c r="AF159" i="1"/>
  <c r="AG163" i="1"/>
  <c r="AG169" i="1"/>
  <c r="AG170" i="1" s="1"/>
  <c r="AG171" i="1"/>
  <c r="AG172" i="1" s="1"/>
  <c r="AG167" i="1"/>
  <c r="AG168" i="1" s="1"/>
  <c r="AG173" i="1"/>
  <c r="AG165" i="1"/>
  <c r="AG166" i="1" s="1"/>
  <c r="AG143" i="1"/>
  <c r="AH108" i="1"/>
  <c r="D104" i="1" s="1"/>
  <c r="AG109" i="1"/>
  <c r="AG142" i="1"/>
  <c r="AG148" i="1"/>
  <c r="AG144" i="1"/>
  <c r="AG157" i="1"/>
  <c r="AG141" i="1"/>
  <c r="AG149" i="1"/>
  <c r="AG145" i="1"/>
  <c r="AG151" i="1"/>
  <c r="AG156" i="1"/>
  <c r="AG147" i="1"/>
  <c r="AG140" i="1"/>
  <c r="AG150" i="1"/>
  <c r="AG152" i="1"/>
  <c r="AG146" i="1"/>
  <c r="AG155" i="1"/>
  <c r="AG154" i="1"/>
  <c r="AG153" i="1"/>
  <c r="AH112" i="1" l="1"/>
  <c r="AH114" i="1" s="1"/>
  <c r="AH152" i="1"/>
  <c r="AI108" i="1"/>
  <c r="Y110" i="1"/>
  <c r="Y111" i="1" s="1"/>
  <c r="X110" i="1"/>
  <c r="X111" i="1" s="1"/>
  <c r="W110" i="1"/>
  <c r="W111" i="1" s="1"/>
  <c r="AG131" i="1"/>
  <c r="AG133" i="1"/>
  <c r="AH122" i="1"/>
  <c r="AH116" i="1"/>
  <c r="AG113" i="1"/>
  <c r="AG126" i="1"/>
  <c r="AG125" i="1"/>
  <c r="AG124" i="1"/>
  <c r="AG127" i="1"/>
  <c r="AG130" i="1"/>
  <c r="AG159" i="1"/>
  <c r="AG175" i="1"/>
  <c r="AG164" i="1"/>
  <c r="AG176" i="1" s="1"/>
  <c r="AG158" i="1"/>
  <c r="AH167" i="1"/>
  <c r="AH168" i="1" s="1"/>
  <c r="AH163" i="1"/>
  <c r="AH169" i="1"/>
  <c r="AH170" i="1" s="1"/>
  <c r="AH165" i="1"/>
  <c r="AH166" i="1" s="1"/>
  <c r="AH171" i="1"/>
  <c r="AH172" i="1" s="1"/>
  <c r="AH173" i="1"/>
  <c r="AH143" i="1"/>
  <c r="AH142" i="1"/>
  <c r="AH153" i="1"/>
  <c r="AH147" i="1"/>
  <c r="AH150" i="1"/>
  <c r="AH141" i="1"/>
  <c r="AH148" i="1"/>
  <c r="AH146" i="1"/>
  <c r="AH154" i="1"/>
  <c r="AH151" i="1"/>
  <c r="AH156" i="1"/>
  <c r="AH149" i="1"/>
  <c r="AH144" i="1"/>
  <c r="AH109" i="1"/>
  <c r="AH140" i="1"/>
  <c r="AH157" i="1"/>
  <c r="AH145" i="1"/>
  <c r="AH155" i="1"/>
  <c r="AH113" i="1" l="1"/>
  <c r="AI112" i="1"/>
  <c r="AI114" i="1" s="1"/>
  <c r="AI167" i="1"/>
  <c r="AI168" i="1" s="1"/>
  <c r="AI171" i="1"/>
  <c r="AI172" i="1" s="1"/>
  <c r="AI140" i="1"/>
  <c r="AI142" i="1"/>
  <c r="AI144" i="1"/>
  <c r="AI146" i="1"/>
  <c r="AI148" i="1"/>
  <c r="AI150" i="1"/>
  <c r="AI152" i="1"/>
  <c r="AI154" i="1"/>
  <c r="AI156" i="1"/>
  <c r="AI165" i="1"/>
  <c r="AI166" i="1" s="1"/>
  <c r="AI163" i="1"/>
  <c r="AI169" i="1"/>
  <c r="AI170" i="1" s="1"/>
  <c r="AI173" i="1"/>
  <c r="AI141" i="1"/>
  <c r="AI143" i="1"/>
  <c r="AI145" i="1"/>
  <c r="AI147" i="1"/>
  <c r="AI149" i="1"/>
  <c r="AI151" i="1"/>
  <c r="AI153" i="1"/>
  <c r="AI155" i="1"/>
  <c r="AI157" i="1"/>
  <c r="AJ108" i="1"/>
  <c r="AI109" i="1"/>
  <c r="AI116" i="1"/>
  <c r="AI122" i="1"/>
  <c r="AH131" i="1"/>
  <c r="AH133" i="1"/>
  <c r="AM123" i="1" s="1"/>
  <c r="AH127" i="1"/>
  <c r="AH124" i="1"/>
  <c r="AH130" i="1"/>
  <c r="AH125" i="1"/>
  <c r="AH126" i="1"/>
  <c r="AH159" i="1"/>
  <c r="AH158" i="1"/>
  <c r="AH164" i="1"/>
  <c r="AH176" i="1" s="1"/>
  <c r="AH175" i="1"/>
  <c r="AA118" i="1" l="1"/>
  <c r="AB120" i="1"/>
  <c r="AB121" i="1" s="1"/>
  <c r="AB117" i="1"/>
  <c r="AB115" i="1"/>
  <c r="AI117" i="1"/>
  <c r="AD117" i="1"/>
  <c r="AE117" i="1"/>
  <c r="AF117" i="1"/>
  <c r="AC117" i="1"/>
  <c r="AG117" i="1"/>
  <c r="AH117" i="1"/>
  <c r="AF115" i="1"/>
  <c r="AC118" i="1"/>
  <c r="AC115" i="1"/>
  <c r="AC120" i="1"/>
  <c r="AC121" i="1" s="1"/>
  <c r="AB118" i="1"/>
  <c r="AG115" i="1"/>
  <c r="AI123" i="1"/>
  <c r="AD115" i="1"/>
  <c r="AE115" i="1"/>
  <c r="AD120" i="1"/>
  <c r="AD121" i="1" s="1"/>
  <c r="AE123" i="1"/>
  <c r="AK118" i="1"/>
  <c r="AL118" i="1"/>
  <c r="AL120" i="1"/>
  <c r="AL121" i="1" s="1"/>
  <c r="AI115" i="1"/>
  <c r="AH115" i="1"/>
  <c r="AI158" i="1"/>
  <c r="AI159" i="1"/>
  <c r="AJ173" i="1"/>
  <c r="AJ141" i="1"/>
  <c r="AJ143" i="1"/>
  <c r="AJ145" i="1"/>
  <c r="AJ147" i="1"/>
  <c r="AJ149" i="1"/>
  <c r="AJ151" i="1"/>
  <c r="AJ153" i="1"/>
  <c r="AJ155" i="1"/>
  <c r="AJ157" i="1"/>
  <c r="AJ112" i="1"/>
  <c r="AJ167" i="1"/>
  <c r="AJ168" i="1" s="1"/>
  <c r="AJ171" i="1"/>
  <c r="AJ172" i="1" s="1"/>
  <c r="AJ140" i="1"/>
  <c r="AJ142" i="1"/>
  <c r="AJ144" i="1"/>
  <c r="AJ146" i="1"/>
  <c r="AJ148" i="1"/>
  <c r="AJ150" i="1"/>
  <c r="AJ152" i="1"/>
  <c r="AJ154" i="1"/>
  <c r="AJ156" i="1"/>
  <c r="AJ165" i="1"/>
  <c r="AJ166" i="1" s="1"/>
  <c r="AJ163" i="1"/>
  <c r="AJ169" i="1"/>
  <c r="AJ170" i="1" s="1"/>
  <c r="AI164" i="1"/>
  <c r="AI176" i="1" s="1"/>
  <c r="AI175" i="1"/>
  <c r="AI113" i="1"/>
  <c r="AI120" i="1"/>
  <c r="AI121" i="1" s="1"/>
  <c r="AJ123" i="1"/>
  <c r="AL123" i="1"/>
  <c r="AK123" i="1"/>
  <c r="AJ109" i="1"/>
  <c r="AJ122" i="1"/>
  <c r="AJ116" i="1"/>
  <c r="AJ117" i="1" s="1"/>
  <c r="AK108" i="1"/>
  <c r="AK120" i="1"/>
  <c r="AK121" i="1" s="1"/>
  <c r="AI118" i="1"/>
  <c r="AJ120" i="1"/>
  <c r="AJ121" i="1" s="1"/>
  <c r="AJ118" i="1"/>
  <c r="Z118" i="1"/>
  <c r="Z119" i="1" s="1"/>
  <c r="AF123" i="1"/>
  <c r="AG123" i="1"/>
  <c r="AH123" i="1"/>
  <c r="AH118" i="1"/>
  <c r="AN131" i="1"/>
  <c r="AN133" i="1"/>
  <c r="AN118" i="1" s="1"/>
  <c r="AN127" i="1"/>
  <c r="AN124" i="1"/>
  <c r="AN130" i="1"/>
  <c r="AO107" i="1"/>
  <c r="AN126" i="1"/>
  <c r="AN125" i="1"/>
  <c r="AA119" i="1" l="1"/>
  <c r="AA110" i="1" s="1"/>
  <c r="AA111" i="1" s="1"/>
  <c r="AC119" i="1"/>
  <c r="AC110" i="1" s="1"/>
  <c r="AC111" i="1" s="1"/>
  <c r="AB119" i="1"/>
  <c r="AB110" i="1" s="1"/>
  <c r="AB111" i="1" s="1"/>
  <c r="AL119" i="1"/>
  <c r="AK119" i="1"/>
  <c r="AM120" i="1"/>
  <c r="AM121" i="1" s="1"/>
  <c r="AN115" i="1"/>
  <c r="AJ159" i="1"/>
  <c r="AJ158" i="1"/>
  <c r="AJ164" i="1"/>
  <c r="AJ176" i="1" s="1"/>
  <c r="AJ175" i="1"/>
  <c r="AK163" i="1"/>
  <c r="AK169" i="1"/>
  <c r="AK170" i="1" s="1"/>
  <c r="AK154" i="1"/>
  <c r="AK173" i="1"/>
  <c r="AK141" i="1"/>
  <c r="AK143" i="1"/>
  <c r="AK145" i="1"/>
  <c r="AK147" i="1"/>
  <c r="AK149" i="1"/>
  <c r="AK151" i="1"/>
  <c r="AK153" i="1"/>
  <c r="AK155" i="1"/>
  <c r="AK157" i="1"/>
  <c r="AK144" i="1"/>
  <c r="AK156" i="1"/>
  <c r="AK140" i="1"/>
  <c r="AK148" i="1"/>
  <c r="AK167" i="1"/>
  <c r="AK168" i="1" s="1"/>
  <c r="AK171" i="1"/>
  <c r="AK172" i="1" s="1"/>
  <c r="AK146" i="1"/>
  <c r="AK142" i="1"/>
  <c r="AK165" i="1"/>
  <c r="AK166" i="1" s="1"/>
  <c r="AK152" i="1"/>
  <c r="AK150" i="1"/>
  <c r="AJ113" i="1"/>
  <c r="AJ114" i="1"/>
  <c r="AJ115" i="1" s="1"/>
  <c r="AI119" i="1"/>
  <c r="AI110" i="1" s="1"/>
  <c r="AI111" i="1" s="1"/>
  <c r="Z110" i="1"/>
  <c r="Z111" i="1" s="1"/>
  <c r="AJ119" i="1"/>
  <c r="AJ110" i="1" s="1"/>
  <c r="AJ111" i="1" s="1"/>
  <c r="AK109" i="1"/>
  <c r="AK116" i="1"/>
  <c r="AK122" i="1"/>
  <c r="AL108" i="1"/>
  <c r="AH120" i="1"/>
  <c r="AH121" i="1" s="1"/>
  <c r="AH119" i="1" s="1"/>
  <c r="AF118" i="1"/>
  <c r="AN123" i="1"/>
  <c r="AD118" i="1"/>
  <c r="AD119" i="1" s="1"/>
  <c r="AE118" i="1"/>
  <c r="AG120" i="1"/>
  <c r="AG121" i="1" s="1"/>
  <c r="AE120" i="1"/>
  <c r="AE121" i="1" s="1"/>
  <c r="AG118" i="1"/>
  <c r="AF120" i="1"/>
  <c r="AF121" i="1" s="1"/>
  <c r="AN117" i="1"/>
  <c r="AN120" i="1"/>
  <c r="AN121" i="1" s="1"/>
  <c r="AN119" i="1" s="1"/>
  <c r="AO131" i="1"/>
  <c r="AM118" i="1" s="1"/>
  <c r="AO130" i="1"/>
  <c r="AO133" i="1"/>
  <c r="AO123" i="1" s="1"/>
  <c r="AN110" i="1" l="1"/>
  <c r="AN111" i="1" s="1"/>
  <c r="AM119" i="1"/>
  <c r="AK158" i="1"/>
  <c r="AK159" i="1"/>
  <c r="AK164" i="1"/>
  <c r="AK176" i="1" s="1"/>
  <c r="AK175" i="1"/>
  <c r="AK113" i="1"/>
  <c r="AK114" i="1"/>
  <c r="AK115" i="1" s="1"/>
  <c r="AL163" i="1"/>
  <c r="AL169" i="1"/>
  <c r="AL170" i="1" s="1"/>
  <c r="AL167" i="1"/>
  <c r="AL168" i="1" s="1"/>
  <c r="AL173" i="1"/>
  <c r="AL141" i="1"/>
  <c r="AL143" i="1"/>
  <c r="AL145" i="1"/>
  <c r="AL147" i="1"/>
  <c r="AL149" i="1"/>
  <c r="AL151" i="1"/>
  <c r="AL153" i="1"/>
  <c r="AL155" i="1"/>
  <c r="AL157" i="1"/>
  <c r="AL171" i="1"/>
  <c r="AL172" i="1" s="1"/>
  <c r="AL140" i="1"/>
  <c r="AL142" i="1"/>
  <c r="AL144" i="1"/>
  <c r="AL146" i="1"/>
  <c r="AL148" i="1"/>
  <c r="AL150" i="1"/>
  <c r="AL152" i="1"/>
  <c r="AL154" i="1"/>
  <c r="AL156" i="1"/>
  <c r="AL165" i="1"/>
  <c r="AL166" i="1" s="1"/>
  <c r="AD110" i="1"/>
  <c r="AD111" i="1" s="1"/>
  <c r="AL109" i="1"/>
  <c r="AL122" i="1"/>
  <c r="AL116" i="1"/>
  <c r="AL117" i="1" s="1"/>
  <c r="AL110" i="1" s="1"/>
  <c r="AL111" i="1" s="1"/>
  <c r="AK117" i="1"/>
  <c r="AK110" i="1" s="1"/>
  <c r="AK111" i="1" s="1"/>
  <c r="AF119" i="1"/>
  <c r="AF110" i="1" s="1"/>
  <c r="AF111" i="1" s="1"/>
  <c r="AE119" i="1"/>
  <c r="AE110" i="1" s="1"/>
  <c r="AE111" i="1" s="1"/>
  <c r="AG119" i="1"/>
  <c r="AG110" i="1" s="1"/>
  <c r="AG111" i="1" s="1"/>
  <c r="AH110" i="1"/>
  <c r="AH111" i="1" s="1"/>
  <c r="AL159" i="1" l="1"/>
  <c r="AM165" i="1"/>
  <c r="AM166" i="1" s="1"/>
  <c r="AM163" i="1"/>
  <c r="AM169" i="1"/>
  <c r="AM170" i="1" s="1"/>
  <c r="AM173" i="1"/>
  <c r="AM141" i="1"/>
  <c r="AM143" i="1"/>
  <c r="AM145" i="1"/>
  <c r="AM147" i="1"/>
  <c r="AM149" i="1"/>
  <c r="AM151" i="1"/>
  <c r="AM153" i="1"/>
  <c r="AM155" i="1"/>
  <c r="AM157" i="1"/>
  <c r="AM167" i="1"/>
  <c r="AM168" i="1" s="1"/>
  <c r="AM171" i="1"/>
  <c r="AM172" i="1" s="1"/>
  <c r="AM140" i="1"/>
  <c r="AM142" i="1"/>
  <c r="AM144" i="1"/>
  <c r="AM146" i="1"/>
  <c r="AM148" i="1"/>
  <c r="AM150" i="1"/>
  <c r="AM152" i="1"/>
  <c r="AM154" i="1"/>
  <c r="AM156" i="1"/>
  <c r="AL114" i="1"/>
  <c r="AL115" i="1" s="1"/>
  <c r="AL113" i="1"/>
  <c r="AL164" i="1"/>
  <c r="AL176" i="1" s="1"/>
  <c r="AL175" i="1"/>
  <c r="AL158" i="1"/>
  <c r="AM122" i="1"/>
  <c r="AM109" i="1"/>
  <c r="AM116" i="1"/>
  <c r="AM117" i="1" l="1"/>
  <c r="AM110" i="1" s="1"/>
  <c r="AM111" i="1" s="1"/>
  <c r="AM158" i="1"/>
  <c r="AM159" i="1"/>
  <c r="AM113" i="1"/>
  <c r="AM114" i="1"/>
  <c r="AM115" i="1" s="1"/>
  <c r="AM164" i="1"/>
  <c r="AM176" i="1" s="1"/>
  <c r="AM175" i="1"/>
</calcChain>
</file>

<file path=xl/sharedStrings.xml><?xml version="1.0" encoding="utf-8"?>
<sst xmlns="http://schemas.openxmlformats.org/spreadsheetml/2006/main" count="359" uniqueCount="284">
  <si>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</si>
  <si>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</si>
  <si>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</si>
  <si>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</si>
  <si>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</si>
  <si>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</si>
  <si>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</si>
  <si>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</si>
  <si>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</si>
  <si>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</si>
  <si>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</si>
  <si>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</si>
  <si>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</si>
  <si>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</si>
  <si>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</si>
  <si>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</si>
  <si>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</si>
  <si>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</si>
  <si>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</si>
  <si>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</si>
  <si>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</si>
  <si>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</si>
  <si>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</si>
  <si>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</si>
  <si>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</si>
  <si>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</si>
  <si>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</si>
  <si>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</si>
  <si>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</si>
  <si>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</si>
  <si>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</si>
  <si>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</si>
  <si>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</si>
  <si>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</si>
  <si>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</si>
  <si>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</si>
  <si>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</si>
  <si>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80–84</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</si>
  <si>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</si>
  <si>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</si>
  <si>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</si>
  <si>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</si>
  <si>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</si>
  <si>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</si>
  <si>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</si>
  <si>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Infections</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</si>
  <si>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</si>
  <si>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</si>
  <si>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</si>
  <si>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</si>
  <si>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</si>
  <si>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</si>
  <si>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</si>
  <si>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</si>
  <si>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</si>
  <si>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</si>
  <si>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</si>
  <si>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</si>
  <si>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</si>
  <si>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</si>
  <si>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</si>
  <si>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</si>
  <si>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</si>
  <si>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</si>
  <si>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</si>
  <si>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</si>
  <si>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</si>
  <si>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</si>
  <si>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</si>
  <si>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</si>
  <si>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</si>
  <si>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</si>
  <si>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</si>
  <si>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</si>
  <si>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</si>
  <si>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</si>
  <si>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</si>
  <si>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</si>
  <si>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</si>
  <si>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</si>
  <si>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</si>
  <si>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</si>
  <si>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</si>
  <si>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</si>
  <si>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</si>
  <si>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</si>
  <si>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</si>
  <si>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</si>
  <si>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</si>
  <si>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</si>
  <si>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</si>
  <si>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</si>
  <si>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</si>
  <si>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</si>
  <si>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</si>
  <si>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</si>
  <si>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</si>
  <si>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</si>
  <si>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</si>
  <si>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</si>
  <si>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</si>
  <si>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</si>
  <si>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</si>
  <si>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</si>
  <si>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</si>
  <si>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</si>
  <si>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</si>
  <si>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</si>
  <si>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</si>
  <si>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</si>
  <si>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</si>
  <si>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</si>
  <si>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</si>
  <si>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</si>
  <si>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Totally speculative at this stage</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</si>
  <si>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</si>
  <si>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</si>
  <si>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</si>
  <si>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</si>
  <si>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</si>
  <si>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</si>
  <si>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</si>
  <si>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</si>
  <si>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</si>
  <si>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</si>
  <si>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</si>
  <si>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</si>
  <si>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</si>
  <si>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</si>
  <si>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</si>
  <si>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</si>
  <si>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</si>
  <si>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</si>
  <si>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</si>
  <si>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</si>
  <si>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</si>
  <si>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</si>
  <si>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</si>
  <si>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</si>
  <si>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</si>
  <si>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</si>
  <si>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</si>
  <si>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</si>
  <si>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</si>
  <si>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</si>
  <si>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</si>
  <si>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</si>
  <si>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</si>
  <si>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</si>
  <si>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</si>
  <si>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</si>
  <si>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</si>
  <si>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</si>
  <si>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</si>
  <si>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</si>
  <si>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</si>
  <si>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</si>
  <si>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</si>
  <si>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</si>
  <si>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</si>
  <si>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</si>
  <si>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</si>
  <si>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</si>
  <si>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</si>
  <si>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</si>
  <si>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</si>
  <si>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</si>
  <si>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</si>
  <si>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</si>
  <si>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</si>
  <si>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</si>
  <si>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</si>
  <si>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</si>
  <si>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</si>
  <si>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</si>
  <si>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as of 8/4/2020</t>
  </si>
  <si>
    <t>First death 29/2</t>
  </si>
  <si>
    <t>Travel from the European Schengen Area blocked</t>
  </si>
  <si>
    <t>Canada travel restricted</t>
  </si>
  <si>
    <t>Mexico travel restricted</t>
  </si>
  <si>
    <t>UK and Ireland travel restricted</t>
  </si>
  <si>
    <t>Iran travel blocked</t>
  </si>
  <si>
    <t>State of Emergency declared by Trump</t>
  </si>
  <si>
    <t>By 16/3/2020 all states had declared a State of Emergency.  States progressively began implementing stay at home orders.  Not all states have done so though</t>
  </si>
  <si>
    <t>Public Hospital Beds in US / 1,000</t>
  </si>
  <si>
    <t>ICU Beds in US / 100,000</t>
  </si>
  <si>
    <t>Detected infection rates appear to have peaked 4/4</t>
  </si>
  <si>
    <t>85+</t>
  </si>
  <si>
    <t>Age group</t>
  </si>
  <si>
    <t>Total (of population)</t>
  </si>
  <si>
    <t>Using Australian rates as testing more comprehensive and cultures are similar</t>
  </si>
  <si>
    <t>Rates as of 8/4/2020</t>
  </si>
  <si>
    <t>Undetected Cases</t>
  </si>
  <si>
    <t>Undetected</t>
  </si>
  <si>
    <t xml:space="preserve"> of total (assumed for US situation)</t>
  </si>
  <si>
    <t>Worst case numbers</t>
  </si>
  <si>
    <t>USA Population</t>
  </si>
  <si>
    <t>American CFR</t>
  </si>
  <si>
    <t>Actual Active Confirmed Infections</t>
  </si>
  <si>
    <t>CDC begins to issue travel advisory warnings to China</t>
  </si>
  <si>
    <t>CDC states that they will begin to screen travellers from Wuhan</t>
  </si>
  <si>
    <t>First US confirmed case in Washington state</t>
  </si>
  <si>
    <t>Trump states "totally under control. It's one person coming in from China, and we have it under control. It's going to be just fine."</t>
  </si>
  <si>
    <t>US coronavirus taskforce created</t>
  </si>
  <si>
    <t>In response to stockmarket falls, Trump tweets that the virus "is very much under control" and the stock market "starting to look very good to me!"</t>
  </si>
  <si>
    <t>Trump issues executive order - China travel restricted</t>
  </si>
  <si>
    <t>FDA eases testing guidelines</t>
  </si>
  <si>
    <t>House passes $8.3bn emerg bill, Trump incorrectly criticises Obama admin for not doing anything about Swine Flu on Fox News</t>
  </si>
  <si>
    <t>Trump asks "everyone to work from home, and limit social gatherings to no more than 10 people", also stating that he has "always known this is a real, this is a pandemic.  I've felt it was a pandemic long before it was called a pandemic."</t>
  </si>
  <si>
    <t>WHO declares coronavirus a pandemic</t>
  </si>
  <si>
    <t>Health Secretary, Alex Azar briefs Trump on the coronavirus threat, during which Trump spent much of the conversation talking about vaping</t>
  </si>
  <si>
    <t>Joe Grogan, head of WH domestic policy council, warns WH to take the virus seriously or it could cost the president his re-election</t>
  </si>
  <si>
    <t>Economic adivsor, Peter Navarro warns the NSC in a memo that the virus could kill half a million Americans and cause a $5.7tn hit to the economy</t>
  </si>
  <si>
    <t>Azar again warns Trump of the looming threat which Trump dismisses as "alarmist" and tweets "Only 5 people in US, all in good recovery"</t>
  </si>
  <si>
    <t>Jan - Feb</t>
  </si>
  <si>
    <t>US Intelligence agencies file classified reports warning about global destabilisation from the pending coronavirus pandemic</t>
  </si>
  <si>
    <t>Trump predicts that "it’s going to work out fine. I think when we get into April, in the warmer weather, that has a very negative effect on that and that type of a virus."</t>
  </si>
  <si>
    <t>WH coronavirus taskforce models pandemic response and concludes that aggressive social distancing is necessary</t>
  </si>
  <si>
    <t>Economics Advisor, Navarro warns that a Covid-19 pandemic could infect as many as 100m Americans with a loss of 1-2m lives</t>
  </si>
  <si>
    <t>Director of the Center for the National Center for Immunization and Respiratory Diseases, Nancy Messonnier says "Ultimately, we expect we will see community spread in this country" and "disruption to everyday life may be severe. But these are things that people need to start thinking about now."</t>
  </si>
  <si>
    <t>Trump while in India states "is very well under control in our country", complains to Azar that Messonnier is scaring the stock market, and tweets "doing a GREAT job of handling Coronavirus including the very early closing of our borders… It was opposed by the Dems..."</t>
  </si>
  <si>
    <t>Director of the National Economics Council, Larry Kudlow states "We have contained this, I won't say airtight, but it's pretty close to airtight"</t>
  </si>
  <si>
    <t>First community spread case documented, Trump states "The infection seems to have gone down over the last two days… We’re going to be pretty soon at only five people. And we could be at just one or two people over the next short period of time." and tweets "Low Ratings Fake News MSDNC (Comcast) &amp; @CNN are doing everything possible to make the Caronavirus look as bad as possible, including panicking markets, if possible. Likewise their incompetent Do Nothing Democrat comrades are all talk, no action. USA in great shape!"</t>
  </si>
  <si>
    <t>Trump states "It's going to disappear, One day it's like a miracle, it will disappear."</t>
  </si>
  <si>
    <t>Trump tweets "Gallup just gave us the highest rating ever for the way we are handling the CoronaVirus situation. The April 2009-10 Swine Flu, where nearly 13,000 people died in the U.S., was poorly handled. Ask MSDNC &amp; lightweight Washington failure @RonaldKlain, who the President was then?"</t>
  </si>
  <si>
    <t>Trump tweets "So last year 37,000 Americans died from the common Flu. It averages between 27,000 and 70,000 per year. Nothing is shut down, life &amp; the economy go on. At this moment there are 546 confirmed cases of CoronaVirus, with 22 deaths. Think about that!"</t>
  </si>
  <si>
    <t>WH states US will have tested 1m people by that week, and then 4m tests per week, by 12/3 the CDC had only completed 4,000 tests</t>
  </si>
  <si>
    <t>Trump states "When people need a test, they can get a test. When the professionals need a test, when they need tests for people, they can get the test. It’s gone really well."</t>
  </si>
  <si>
    <t>Dr Anthony Fauci tells Congress that there is not sufficient testing or capacity to do so "That is a failing. Let's admit it."  Trump states that there are a "million tests out now.  If you go to the right agency, if you go to the right area, you get the test"</t>
  </si>
  <si>
    <t>Trump warns against those without symptoms being tested, "It's totally unecessary.  This will pass". He also states "We’ve been in discussions with pharmacies and retailers to make drive-through tests available in the critical locations identified by public health professionals" and announces a Google site under development but that was not correct.</t>
  </si>
  <si>
    <t>Trump states "I don't take responsibility at all"</t>
  </si>
  <si>
    <t>CDC begins screening arrivals of travellers from Wuhan at 3 airports</t>
  </si>
  <si>
    <t>Trump announces ban on travel from Europe, incorrectly suggesting also cargo would be subject to the ban and that health insurance providers to waive all co-pays for coronavirus treatment, the waiver only applied to the test, not the treatment</t>
  </si>
  <si>
    <t>Trump signs $2.2tn emergency spending bill</t>
  </si>
  <si>
    <t>Trump recommends people wear non-medical masks but states "I don't think I'm going to be doing it"</t>
  </si>
  <si>
    <t>Fauci states that masks could help limit spread, but would not provide the protection people hoped</t>
  </si>
  <si>
    <t>Trump pushes hydroxychloroquine again while Fauci states that the data is at best suggestive and can't definitely say it works</t>
  </si>
  <si>
    <t>Trump claims total authority over governors on opening back up, and retweets a tweet containing #FireFauci after Fauci admitted that if controls had been introduced earlier, more lives could have been saved</t>
  </si>
  <si>
    <t>WHO begins ongoing briefings to US and other national govts</t>
  </si>
  <si>
    <t>WHO distributes guidance to member states for their own risk assessments and planning</t>
  </si>
  <si>
    <t>Trump tweets "China has been working very hard to contain the coronavirus… The United States greatly appreciates their efforts and transparency"</t>
  </si>
  <si>
    <t>WHO team finally permitted to visit Wuhan after obstruction by the Chinese govt</t>
  </si>
  <si>
    <t>Early Feb</t>
  </si>
  <si>
    <t>WHO distributes a Covid-19 test worldwide, but CDC chose to not use this test but to develop their own which proved faulty, with the US not having any testing capability/capacity until the end of Feb with limited availability of testing kits</t>
  </si>
  <si>
    <t>WHO confirms human to human transmission and the global risk was high following a brief field visit to Wuhan</t>
  </si>
  <si>
    <t>Trump begins pushing hydroxychloroquine and azithromycin , media outlets point out that Trump has shares in a pharmaceutical that makes hydroxychloroquine, this after Trump had previously stated that he does not do shares, only hotels</t>
  </si>
  <si>
    <t>Trump claims COVID-19 has gotten too brilliant for antibiotics to work against the virus, not understanding the difference between virus' and bacteria</t>
  </si>
  <si>
    <t>WHO published advice recommending no international restrictions, restricting the movement of people and goods during public health emergencies is ineffective in most situations.</t>
  </si>
  <si>
    <t>Chinese scientists publicly release the genetic sequence of Covid-19</t>
  </si>
  <si>
    <t>WHO declares a global health emergency while praising China for its efforts to contain the virus including its commitment to transparency and discouraging again the closing down of borders</t>
  </si>
  <si>
    <t>Trump at the CDC calls the pandemic "an unforeseen problem. What a problem, came out of nowhere." Stockmarkets begin to plunge in earnest</t>
  </si>
  <si>
    <t>Trump tweets "cure can't be worse than the problem itself" and states he would "love to have the country opened up, and just raring to go by Easter" and claimed that he instituted a travel ban against everyone’s wishes and that “nobody,” not even doctors, wanted him to restrict travel. But “probably tens of thousands” of people would be dead now if he hadn’t done so</t>
  </si>
  <si>
    <t>Biden tweets “We are in the midst of a crisis with the coronavirus. We need to lead the way with science — not Donald Trump’s record of hysteria, xenophobia, and fear-mongering. He is the worst possible person to lead our country through a global health emergency.”, which Trump then uses multiple times to claim that Biden had called him racist for stopping people arriving from China</t>
  </si>
  <si>
    <t>Biden states that the United States should not be overly dismissive of the outbreak, “but neither should we panic or fall back on xenophobia, labeling COVID-19 a foreign virus does not displace accountability for the misjudgments that have been taken thus far by the Trump administration.”</t>
  </si>
  <si>
    <t>Trump tweeted: “I always treated the Chinese Virus very seriously, and have done a very good job from the beginning, including my very early decision to close the ‘borders’ from China - against the wishes of almost all. Many lives were saved. The Fake News new narrative is disgraceful &amp; false!”. Biden replied the same day: “Stop the xenophobic fear-mongering. Be honest. Take responsibility. Do your job.”</t>
  </si>
  <si>
    <t>Azar declares a public health emergency</t>
  </si>
  <si>
    <t>Biden accuses Trump of xenophobia in dealing with the coronavirus pandemic at a rally</t>
  </si>
  <si>
    <t>Senate briefed by WH, expresses concern that WH not taking the threat seriously enough, while three Democrats at a House subcommittee questioned the travel restrictions with China</t>
  </si>
  <si>
    <t>Trump announces a "travel ban" on entry to the US from foreign nationals who recently visited China, which Trump claims he decided against advice of "experts", but Azar states it was based on a uniform recommendation from experts in his department.  Trump also claims he was the first country to do so, when some 38-45 countries had already done so.</t>
  </si>
  <si>
    <t>WHO fails to acknowledge Taiwan in a video call with a HK journalist, subsequently used as one of the reasons to justify accusation that WHO is too heavily influenced by China</t>
  </si>
  <si>
    <t>Trump retweets a post referring to the virus as the China Virus to justify the wall with Mexico, ramping up the racialisation of the epidemic</t>
  </si>
  <si>
    <t>Pompeo refers to the virus as the Wuhan Virus, ratcheting up the racialisation from the Republican party in relation to the pandemic</t>
  </si>
  <si>
    <t>When Trump was asked what he wanted state governors to do in their attemps to source medical supplies, Trump said "very simple: I want them to be appreciative" singling out 2 Democratic governors for not being appreciative enough of him and also saying "when they’re not appreciative to me, they’re not appreciative to the Army Corps, they’re not appreciative to FEMA, it’s not right," setting up a ongoing public dispute over aid provisioning to Michigan and Washington with the implication that Trump would not provide Federal assistance until they became more "appreciative" of him.  "If they don't treat you right, I don't call," echoing his approach with Ukraine that got him impeached, seeking praise before unlocking aid.</t>
  </si>
  <si>
    <t>Trump says that states need to work out competing bids for medical equipment among themselves…  We're a backup, we’re not an ordering clerk, we're a backup, and we've done an unbelievable job"</t>
  </si>
  <si>
    <t>Washington Post revealed a visit by US diplomatic officials to the Wuhan Institute of Virology in 2018 found lack of training and safety procedures in the lab and recommended that the US provide assistance to improve standards.  It is unclear if this was ever done.</t>
  </si>
  <si>
    <t>Trump cited the theory that the coronavirus was accidentally leaked from China's Wuhan Institute of Virology, despite overwhelming weight of scientific research pointing to it originally coming from animals, prompting responses from WHO and China and many science researchers and journals such as The Lancet</t>
  </si>
  <si>
    <t>Trump backs down on his total authority claim, outlining a 3 step process to open states back up again and stating that it will be up to the states when and how they open back up</t>
  </si>
  <si>
    <t>Right wing protests begin in some states against lockdown laws</t>
  </si>
  <si>
    <t>Trump falsely states that he "inherited a broken test" for COVID-19 (COVID-19 is a new virus, not one that had occurred during previous presidencies), tells nation to prepare for hard days</t>
  </si>
  <si>
    <t>Trump defending his tweets "I think some things are too tough, and if you look at some of the states you just mentioned, it's too tough, not only in reference to this but what they've done in Virginia with respect to the second amendment is just a horrible thing... When you see what other states have done, I think I feel very comfortable." When asked if the 3 states should lift their stay at home orders "I think elements of what they've done are too much... What they've done in Virginia is just incredible" this despite these states following Federal guidelines for their state at home orders.</t>
  </si>
  <si>
    <t>In response to protests and Fox News Trump further attacks Democratic governors tweeting: "LIBERATE MINNESOTA", "LIBERATE MICHIGAN", "LIBERATE VIRGINIA and save your great 2nd Amendment. It is under siege!". Trump stated "These are people expressing their views, I see where they are and I see the way they're working.  They seem to be very responsible people to me, but they've been treated a little bit rough"</t>
  </si>
  <si>
    <t>Trump tweets "Tell the Democrat Governors that “Mutiny On The Bounty” was one of my all time favorite movies. A good old fashioned mutiny every now and then is an exciting and invigorating thing to watch, especially when the mutineers need so much from the Captain. Too easy!".  Death threat to governors for not praising him?</t>
  </si>
  <si>
    <t>Zhao Lijian, a Chinese foreign ministry official tweets a conspiracy theory that Coronavirus originated in US soldiers visiting China in October, presumably a response to the racialisation of the virus by Republicans</t>
  </si>
  <si>
    <t>Trump announces halt to funding of WHO stating that the WHO had "failed in its basic duty and it must be held accountable", mainly based on WHO stating early Jan that China had not found human to human transmission at that point in time, after Taiwan had apparently told WHO otherwise.  There is no evidence that Taiwan had conveyed this information at that point in time.</t>
  </si>
  <si>
    <t>WHO raises first alert over Wuhan outbreak, WHO states that the information they have from China showed there was no evidence of significant human to human transmission</t>
  </si>
  <si>
    <t>WHO report preliminary Chinese studies suggest no clear evidence of human to human transmission, but stated that it was still a strong possibility</t>
  </si>
  <si>
    <t>Trump warned that Beijing would face consequences if it was "knowingly responsible" for the spread of Covid-19 but he didn’t say what sort of consequences he had in mind. Trump questioned whether it was a "mistake that got out of control" or a crisis that was started deliberately in China</t>
  </si>
  <si>
    <t>Dr Li dies from coronavirus</t>
  </si>
  <si>
    <t>In December, Dr Li was accused of spreading rumours by Chinese police and summoned to a government Public Security Bureau, where he was warned that he should not continue to make comments that "disturb the social order". "We solemnly warn you: If you keep being stubborn, with such impertinence, and continue this illegal activity, you will be brought to justice – is that understood?" an official letter given to the doctor said.</t>
  </si>
  <si>
    <t>Ophthalmologist Dr Li Wenliang notices some asymptomatic flu symptoms that are SARS like and asks other doctors on WeChat social media in a private message if they have noticed these cases as well and to be alert and protect themselves.  He is one of 8 whistleblowers who tried to send warnings to other medics in Dec.</t>
  </si>
  <si>
    <t>Dr Li admitted to intensive care</t>
  </si>
  <si>
    <t>Dr Li tests positive to coronavirus following being tested several times through January, he was diagnosed with the infection 1/2/2020</t>
  </si>
  <si>
    <t>Reports that China is investigating respiratory illness in Wuhan after Taiwan sent an alert to the WHO in Geneva and began quarantining arrivals from China.  When WHO forwarded the alert to China, the Chinese regime told the WHO there was no problem</t>
  </si>
  <si>
    <t>Dr Li contracts coronavirus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</si>
</sst>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s>
  <fonts count="11"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1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4" tint="0.79998168889431442"/>
        <bgColor indexed="64"/>
      </patternFill>
    </fill>
  </fills>
  <borders count="23">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style="thin">
        <color theme="5" tint="-0.249977111117893"/>
      </left>
      <right/>
      <top style="thin">
        <color theme="5" tint="-0.249977111117893"/>
      </top>
      <bottom style="thin">
        <color theme="5" tint="-0.249977111117893"/>
      </bottom>
      <diagonal/>
    </border>
    <border>
      <left/>
      <right/>
      <top style="thin">
        <color theme="5" tint="-0.249977111117893"/>
      </top>
      <bottom style="thin">
        <color theme="5" tint="-0.249977111117893"/>
      </bottom>
      <diagonal/>
    </border>
    <border>
      <left/>
      <right style="thin">
        <color theme="5" tint="-0.249977111117893"/>
      </right>
      <top style="thin">
        <color theme="5" tint="-0.249977111117893"/>
      </top>
      <bottom style="thin">
        <color theme="5" tint="-0.249977111117893"/>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68" fontId="8" fillId="0" borderId="0"/>
  </cellStyleXfs>
  <cellXfs count="294">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4" fillId="8" borderId="12" xfId="0" applyFont="1"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9" fontId="0" fillId="0" borderId="0" xfId="0" applyNumberFormat="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2" xfId="0" applyNumberFormat="1" applyFill="1" applyBorder="1" applyAlignment="1">
      <alignment horizontal="center"/>
    </xf>
    <xf numFmtId="3" fontId="0" fillId="10" borderId="14" xfId="0" applyNumberFormat="1" applyFill="1" applyBorder="1" applyAlignment="1">
      <alignment horizontal="center"/>
    </xf>
    <xf numFmtId="0" fontId="0" fillId="7" borderId="13" xfId="0" applyFill="1" applyBorder="1"/>
    <xf numFmtId="0" fontId="0" fillId="7" borderId="14" xfId="0" applyFill="1" applyBorder="1"/>
    <xf numFmtId="3" fontId="0" fillId="7" borderId="14" xfId="0" applyNumberFormat="1" applyFill="1" applyBorder="1"/>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9" fontId="5" fillId="9" borderId="2" xfId="1" applyNumberFormat="1" applyFill="1" applyBorder="1"/>
    <xf numFmtId="0" fontId="0" fillId="10" borderId="7" xfId="0" applyFill="1" applyBorder="1"/>
    <xf numFmtId="0" fontId="0" fillId="15"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9" fillId="4" borderId="0" xfId="0" applyNumberFormat="1" applyFont="1" applyFill="1" applyBorder="1"/>
    <xf numFmtId="9" fontId="9" fillId="4" borderId="4" xfId="0" applyNumberFormat="1" applyFont="1" applyFill="1" applyBorder="1"/>
    <xf numFmtId="0" fontId="0" fillId="0" borderId="9" xfId="0" applyBorder="1"/>
    <xf numFmtId="0" fontId="0" fillId="0" borderId="10" xfId="0" applyBorder="1"/>
    <xf numFmtId="0" fontId="0" fillId="0" borderId="11" xfId="0" applyBorder="1"/>
    <xf numFmtId="0" fontId="10" fillId="0" borderId="0" xfId="0" applyFont="1" applyBorder="1"/>
    <xf numFmtId="3" fontId="0" fillId="3" borderId="14" xfId="0" applyNumberFormat="1" applyFill="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9" fillId="4" borderId="14" xfId="0" applyNumberFormat="1" applyFont="1" applyFill="1" applyBorder="1"/>
    <xf numFmtId="3" fontId="9" fillId="4" borderId="15" xfId="0" applyNumberFormat="1" applyFont="1" applyFill="1" applyBorder="1"/>
    <xf numFmtId="170" fontId="9" fillId="4" borderId="14" xfId="0" applyNumberFormat="1" applyFont="1" applyFill="1" applyBorder="1"/>
    <xf numFmtId="170" fontId="9" fillId="4" borderId="15" xfId="0" applyNumberFormat="1" applyFont="1" applyFill="1" applyBorder="1"/>
    <xf numFmtId="3" fontId="9"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9" fillId="4" borderId="0" xfId="0" applyNumberFormat="1" applyFont="1" applyFill="1" applyBorder="1"/>
    <xf numFmtId="171" fontId="9"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9" fillId="4" borderId="8" xfId="0" applyNumberFormat="1" applyFont="1" applyFill="1" applyBorder="1"/>
    <xf numFmtId="171" fontId="9"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9" fillId="4" borderId="7" xfId="0" applyNumberFormat="1" applyFont="1" applyFill="1" applyBorder="1"/>
    <xf numFmtId="171" fontId="9" fillId="4" borderId="2" xfId="0" applyNumberFormat="1" applyFont="1" applyFill="1" applyBorder="1"/>
    <xf numFmtId="171" fontId="0" fillId="2" borderId="8" xfId="0" applyNumberFormat="1" applyFill="1" applyBorder="1"/>
    <xf numFmtId="171" fontId="0" fillId="0" borderId="7" xfId="0" applyNumberFormat="1" applyBorder="1"/>
    <xf numFmtId="0" fontId="10" fillId="0" borderId="0" xfId="0" applyFont="1"/>
    <xf numFmtId="3" fontId="9" fillId="4" borderId="8" xfId="0" applyNumberFormat="1" applyFont="1" applyFill="1" applyBorder="1"/>
    <xf numFmtId="3" fontId="9" fillId="4" borderId="6"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3" fontId="0" fillId="9" borderId="12" xfId="0" applyNumberFormat="1" applyFill="1" applyBorder="1"/>
    <xf numFmtId="171" fontId="0" fillId="4" borderId="7" xfId="0" applyNumberFormat="1" applyFill="1" applyBorder="1"/>
    <xf numFmtId="164" fontId="9" fillId="4" borderId="0" xfId="0" applyNumberFormat="1" applyFont="1" applyFill="1" applyBorder="1"/>
    <xf numFmtId="164" fontId="0" fillId="0" borderId="4" xfId="0" applyNumberFormat="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4" fontId="0" fillId="0" borderId="14" xfId="0" applyNumberFormat="1" applyFill="1" applyBorder="1"/>
    <xf numFmtId="0" fontId="4" fillId="0" borderId="0" xfId="0" applyFont="1" applyAlignment="1">
      <alignment horizontal="center" vertical="center" wrapText="1"/>
    </xf>
    <xf numFmtId="9" fontId="0" fillId="0" borderId="0" xfId="0" applyNumberFormat="1" applyAlignment="1">
      <alignment vertical="center" wrapText="1"/>
    </xf>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9" fillId="4" borderId="1" xfId="0" applyNumberFormat="1" applyFont="1" applyFill="1" applyBorder="1"/>
    <xf numFmtId="9" fontId="9" fillId="4" borderId="3" xfId="0" applyNumberFormat="1" applyFont="1" applyFill="1" applyBorder="1"/>
    <xf numFmtId="171" fontId="9" fillId="4" borderId="3" xfId="0" applyNumberFormat="1" applyFont="1" applyFill="1" applyBorder="1"/>
    <xf numFmtId="171" fontId="9" fillId="4" borderId="5" xfId="0" applyNumberFormat="1" applyFont="1" applyFill="1" applyBorder="1"/>
    <xf numFmtId="171" fontId="9" fillId="0" borderId="16" xfId="0" applyNumberFormat="1" applyFont="1" applyFill="1" applyBorder="1"/>
    <xf numFmtId="9" fontId="9" fillId="0" borderId="17" xfId="0" applyNumberFormat="1" applyFont="1" applyFill="1" applyBorder="1"/>
    <xf numFmtId="171" fontId="9" fillId="0" borderId="17" xfId="0" applyNumberFormat="1" applyFont="1" applyFill="1" applyBorder="1"/>
    <xf numFmtId="3" fontId="9" fillId="0" borderId="17" xfId="0" applyNumberFormat="1" applyFont="1" applyFill="1" applyBorder="1"/>
    <xf numFmtId="171" fontId="9" fillId="0" borderId="17" xfId="0" applyNumberFormat="1" applyFont="1" applyBorder="1"/>
    <xf numFmtId="171" fontId="9" fillId="0" borderId="18" xfId="0" applyNumberFormat="1" applyFont="1" applyFill="1" applyBorder="1"/>
    <xf numFmtId="9" fontId="5" fillId="0" borderId="0" xfId="1" applyNumberFormat="1" applyFill="1" applyBorder="1"/>
    <xf numFmtId="166" fontId="0" fillId="9" borderId="7" xfId="0" applyNumberFormat="1" applyFill="1" applyBorder="1"/>
    <xf numFmtId="166" fontId="0" fillId="9" borderId="8" xfId="0" applyNumberFormat="1" applyFill="1" applyBorder="1"/>
    <xf numFmtId="14" fontId="9" fillId="0" borderId="19" xfId="0" applyNumberFormat="1" applyFont="1" applyFill="1" applyBorder="1"/>
    <xf numFmtId="0" fontId="9" fillId="0" borderId="0" xfId="0" applyFont="1" applyFill="1"/>
    <xf numFmtId="3" fontId="9" fillId="8" borderId="14" xfId="0" applyNumberFormat="1" applyFont="1" applyFill="1" applyBorder="1"/>
    <xf numFmtId="3" fontId="9" fillId="2" borderId="14" xfId="0" applyNumberFormat="1" applyFont="1" applyFill="1" applyBorder="1"/>
    <xf numFmtId="171" fontId="0" fillId="0" borderId="0" xfId="0" applyNumberFormat="1"/>
    <xf numFmtId="170" fontId="0" fillId="0" borderId="11" xfId="0" applyNumberFormat="1" applyBorder="1"/>
    <xf numFmtId="0" fontId="0" fillId="4" borderId="0" xfId="0" applyFill="1"/>
    <xf numFmtId="0" fontId="0" fillId="16" borderId="7" xfId="0" applyFill="1" applyBorder="1"/>
    <xf numFmtId="14" fontId="0" fillId="0" borderId="0" xfId="0" applyNumberFormat="1" applyBorder="1"/>
    <xf numFmtId="164" fontId="9" fillId="4" borderId="3" xfId="0" applyNumberFormat="1" applyFont="1" applyFill="1" applyBorder="1"/>
    <xf numFmtId="3" fontId="9" fillId="4" borderId="5" xfId="0" applyNumberFormat="1" applyFont="1" applyFill="1" applyBorder="1"/>
    <xf numFmtId="3" fontId="9" fillId="4" borderId="15" xfId="0" applyNumberFormat="1" applyFont="1" applyFill="1" applyBorder="1" applyAlignment="1">
      <alignment horizontal="center"/>
    </xf>
    <xf numFmtId="3" fontId="0" fillId="17" borderId="14" xfId="0" applyNumberFormat="1" applyFill="1" applyBorder="1"/>
    <xf numFmtId="171" fontId="0" fillId="18" borderId="3" xfId="0" applyNumberFormat="1" applyFill="1" applyBorder="1"/>
    <xf numFmtId="171" fontId="0" fillId="18" borderId="0" xfId="0" applyNumberFormat="1" applyFill="1" applyBorder="1"/>
    <xf numFmtId="3" fontId="0" fillId="17" borderId="13" xfId="0" applyNumberFormat="1" applyFill="1" applyBorder="1"/>
    <xf numFmtId="170" fontId="0" fillId="18" borderId="14" xfId="0" applyNumberFormat="1" applyFill="1" applyBorder="1"/>
    <xf numFmtId="171" fontId="0" fillId="18" borderId="4" xfId="0" applyNumberFormat="1" applyFill="1" applyBorder="1"/>
    <xf numFmtId="3" fontId="0" fillId="0" borderId="13" xfId="0" applyNumberFormat="1" applyFill="1" applyBorder="1" applyAlignment="1">
      <alignment horizontal="center"/>
    </xf>
    <xf numFmtId="14" fontId="0" fillId="2" borderId="0" xfId="0" applyNumberFormat="1" applyFill="1"/>
    <xf numFmtId="14" fontId="0" fillId="13" borderId="0" xfId="0" applyNumberFormat="1" applyFill="1"/>
    <xf numFmtId="0" fontId="0" fillId="13" borderId="0" xfId="0" applyFill="1"/>
    <xf numFmtId="171" fontId="0" fillId="9" borderId="3" xfId="0" applyNumberFormat="1" applyFill="1" applyBorder="1"/>
    <xf numFmtId="171" fontId="0" fillId="3" borderId="0" xfId="0" applyNumberFormat="1" applyFill="1" applyBorder="1"/>
    <xf numFmtId="171" fontId="0" fillId="3" borderId="4" xfId="0" applyNumberFormat="1" applyFill="1" applyBorder="1"/>
    <xf numFmtId="14" fontId="0" fillId="8" borderId="14" xfId="0" applyNumberFormat="1" applyFill="1" applyBorder="1"/>
    <xf numFmtId="14" fontId="0" fillId="4" borderId="20" xfId="0" applyNumberFormat="1" applyFill="1" applyBorder="1"/>
    <xf numFmtId="14" fontId="0" fillId="15" borderId="21" xfId="0" applyNumberFormat="1" applyFill="1" applyBorder="1"/>
    <xf numFmtId="14" fontId="0" fillId="16" borderId="21" xfId="0" applyNumberFormat="1" applyFill="1" applyBorder="1"/>
    <xf numFmtId="14" fontId="0" fillId="10" borderId="21" xfId="0" applyNumberFormat="1" applyFill="1" applyBorder="1"/>
    <xf numFmtId="14" fontId="0" fillId="4" borderId="21" xfId="0" applyNumberFormat="1" applyFill="1" applyBorder="1"/>
    <xf numFmtId="14" fontId="0" fillId="0" borderId="21" xfId="0" applyNumberFormat="1" applyFill="1" applyBorder="1"/>
    <xf numFmtId="14" fontId="0" fillId="8" borderId="22" xfId="0" applyNumberForma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xf numFmtId="0" fontId="0" fillId="0" borderId="0" xfId="0" applyAlignment="1">
      <alignment vertical="center" wrapText="1"/>
    </xf>
    <xf numFmtId="0" fontId="5" fillId="0" borderId="0" xfId="1" applyFill="1"/>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2">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43901.624748379632</c:v>
                </c:pt>
                <c:pt idx="1">
                  <c:v>43904.624748379632</c:v>
                </c:pt>
                <c:pt idx="2">
                  <c:v>43907.624748379632</c:v>
                </c:pt>
                <c:pt idx="3">
                  <c:v>43910.624748379632</c:v>
                </c:pt>
                <c:pt idx="4">
                  <c:v>43913.624748379632</c:v>
                </c:pt>
                <c:pt idx="5">
                  <c:v>43916.624748379632</c:v>
                </c:pt>
                <c:pt idx="6">
                  <c:v>43919.624748379632</c:v>
                </c:pt>
                <c:pt idx="7">
                  <c:v>43922.624748379632</c:v>
                </c:pt>
                <c:pt idx="8">
                  <c:v>43925.624748379632</c:v>
                </c:pt>
                <c:pt idx="9">
                  <c:v>43928.624748379632</c:v>
                </c:pt>
                <c:pt idx="10">
                  <c:v>43931.624748379632</c:v>
                </c:pt>
                <c:pt idx="11">
                  <c:v>43934.624748379632</c:v>
                </c:pt>
                <c:pt idx="12">
                  <c:v>43937.624748379632</c:v>
                </c:pt>
                <c:pt idx="13">
                  <c:v>43940.624748379632</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157.23270440251574</c:v>
                </c:pt>
                <c:pt idx="1">
                  <c:v>314.46540880503147</c:v>
                </c:pt>
                <c:pt idx="2">
                  <c:v>628.93081761006295</c:v>
                </c:pt>
                <c:pt idx="3">
                  <c:v>1257.8616352201259</c:v>
                </c:pt>
                <c:pt idx="4">
                  <c:v>2515.7232704402518</c:v>
                </c:pt>
                <c:pt idx="5">
                  <c:v>5031.4465408805036</c:v>
                </c:pt>
                <c:pt idx="6">
                  <c:v>10062.893081761007</c:v>
                </c:pt>
                <c:pt idx="7">
                  <c:v>20125.786163522014</c:v>
                </c:pt>
                <c:pt idx="8">
                  <c:v>40251.572327044028</c:v>
                </c:pt>
                <c:pt idx="9">
                  <c:v>80503.144654088057</c:v>
                </c:pt>
                <c:pt idx="10">
                  <c:v>161006.28930817611</c:v>
                </c:pt>
                <c:pt idx="11">
                  <c:v>322012.57861635223</c:v>
                </c:pt>
                <c:pt idx="12">
                  <c:v>644025.15723270446</c:v>
                </c:pt>
                <c:pt idx="13">
                  <c:v>1288050.3144654089</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43901.624748379632</c:v>
                </c:pt>
                <c:pt idx="1">
                  <c:v>43904.624748379632</c:v>
                </c:pt>
                <c:pt idx="2">
                  <c:v>43907.624748379632</c:v>
                </c:pt>
                <c:pt idx="3">
                  <c:v>43910.624748379632</c:v>
                </c:pt>
                <c:pt idx="4">
                  <c:v>43913.624748379632</c:v>
                </c:pt>
                <c:pt idx="5">
                  <c:v>43916.624748379632</c:v>
                </c:pt>
                <c:pt idx="6">
                  <c:v>43919.624748379632</c:v>
                </c:pt>
                <c:pt idx="7">
                  <c:v>43922.624748379632</c:v>
                </c:pt>
                <c:pt idx="8">
                  <c:v>43925.624748379632</c:v>
                </c:pt>
                <c:pt idx="9">
                  <c:v>43928.624748379632</c:v>
                </c:pt>
                <c:pt idx="10">
                  <c:v>43931.624748379632</c:v>
                </c:pt>
                <c:pt idx="11">
                  <c:v>43934.624748379632</c:v>
                </c:pt>
                <c:pt idx="12">
                  <c:v>43937.624748379632</c:v>
                </c:pt>
                <c:pt idx="13">
                  <c:v>43940.624748379632</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138.36477987421384</c:v>
                </c:pt>
                <c:pt idx="1">
                  <c:v>276.72955974842768</c:v>
                </c:pt>
                <c:pt idx="2">
                  <c:v>553.45911949685535</c:v>
                </c:pt>
                <c:pt idx="3">
                  <c:v>1106.9182389937107</c:v>
                </c:pt>
                <c:pt idx="4">
                  <c:v>2213.8364779874214</c:v>
                </c:pt>
                <c:pt idx="5">
                  <c:v>4427.6729559748428</c:v>
                </c:pt>
                <c:pt idx="6">
                  <c:v>8855.3459119496856</c:v>
                </c:pt>
                <c:pt idx="7">
                  <c:v>17710.691823899371</c:v>
                </c:pt>
                <c:pt idx="8">
                  <c:v>35421.383647798742</c:v>
                </c:pt>
                <c:pt idx="9">
                  <c:v>70842.767295597485</c:v>
                </c:pt>
                <c:pt idx="10">
                  <c:v>141685.53459119497</c:v>
                </c:pt>
                <c:pt idx="11">
                  <c:v>283371.06918238994</c:v>
                </c:pt>
                <c:pt idx="12">
                  <c:v>566742.13836477988</c:v>
                </c:pt>
                <c:pt idx="13">
                  <c:v>1133484.2767295598</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43901.624748379632</c:v>
                </c:pt>
                <c:pt idx="1">
                  <c:v>43904.624748379632</c:v>
                </c:pt>
                <c:pt idx="2">
                  <c:v>43907.624748379632</c:v>
                </c:pt>
                <c:pt idx="3">
                  <c:v>43910.624748379632</c:v>
                </c:pt>
                <c:pt idx="4">
                  <c:v>43913.624748379632</c:v>
                </c:pt>
                <c:pt idx="5">
                  <c:v>43916.624748379632</c:v>
                </c:pt>
                <c:pt idx="6">
                  <c:v>43919.624748379632</c:v>
                </c:pt>
                <c:pt idx="7">
                  <c:v>43922.624748379632</c:v>
                </c:pt>
                <c:pt idx="8">
                  <c:v>43925.624748379632</c:v>
                </c:pt>
                <c:pt idx="9">
                  <c:v>43928.624748379632</c:v>
                </c:pt>
                <c:pt idx="10">
                  <c:v>43931.624748379632</c:v>
                </c:pt>
                <c:pt idx="11">
                  <c:v>43934.624748379632</c:v>
                </c:pt>
                <c:pt idx="12">
                  <c:v>43937.624748379632</c:v>
                </c:pt>
                <c:pt idx="13">
                  <c:v>43940.624748379632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18.867924528301888</c:v>
                </c:pt>
                <c:pt idx="4">
                  <c:v>37.735849056603776</c:v>
                </c:pt>
                <c:pt idx="5">
                  <c:v>75.471698113207552</c:v>
                </c:pt>
                <c:pt idx="6">
                  <c:v>150.9433962264151</c:v>
                </c:pt>
                <c:pt idx="7">
                  <c:v>301.88679245283021</c:v>
                </c:pt>
                <c:pt idx="8">
                  <c:v>603.77358490566041</c:v>
                </c:pt>
                <c:pt idx="9">
                  <c:v>1207.5471698113208</c:v>
                </c:pt>
                <c:pt idx="10">
                  <c:v>2415.0943396226417</c:v>
                </c:pt>
                <c:pt idx="11">
                  <c:v>4830.1886792452833</c:v>
                </c:pt>
                <c:pt idx="12">
                  <c:v>9660.3773584905666</c:v>
                </c:pt>
                <c:pt idx="13">
                  <c:v>19320.754716981133</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Projections!$A$108</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Projections!$L$107:$AN$107</c15:sqref>
                  </c15:fullRef>
                </c:ext>
              </c:extLst>
              <c:f>Projections!$L$107:$AD$107</c:f>
              <c:numCache>
                <c:formatCode>m/d/yyyy</c:formatCode>
                <c:ptCount val="1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numCache>
            </c:numRef>
          </c:cat>
          <c:val>
            <c:numRef>
              <c:extLst>
                <c:ext xmlns:c15="http://schemas.microsoft.com/office/drawing/2012/chart" uri="{02D57815-91ED-43cb-92C2-25804820EDAC}">
                  <c15:fullRef>
                    <c15:sqref>Projections!$L$108:$AN$108</c15:sqref>
                  </c15:fullRef>
                </c:ext>
              </c:extLst>
              <c:f>Projections!$L$108:$AD$108</c:f>
              <c:numCache>
                <c:formatCode>#,##0_ ;[Red]\-#,##0\ </c:formatCode>
                <c:ptCount val="19"/>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768000</c:v>
                </c:pt>
                <c:pt idx="16">
                  <c:v>896000</c:v>
                </c:pt>
                <c:pt idx="17">
                  <c:v>962560</c:v>
                </c:pt>
                <c:pt idx="18">
                  <c:v>1024000</c:v>
                </c:pt>
              </c:numCache>
            </c:numRef>
          </c:val>
          <c:smooth val="0"/>
          <c:extLst>
            <c:ext xmlns:c16="http://schemas.microsoft.com/office/drawing/2014/chart" uri="{C3380CC4-5D6E-409C-BE32-E72D297353CC}">
              <c16:uniqueId val="{00000004-8BCC-427B-903C-670C749E04E9}"/>
            </c:ext>
          </c:extLst>
        </c:ser>
        <c:ser>
          <c:idx val="1"/>
          <c:order val="1"/>
          <c:tx>
            <c:strRef>
              <c:f>Projections!$A$132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Projections!$L$107:$AN$107</c15:sqref>
                  </c15:fullRef>
                </c:ext>
              </c:extLst>
              <c:f>Projections!$L$107:$AD$107</c:f>
              <c:numCache>
                <c:formatCode>m/d/yyyy</c:formatCode>
                <c:ptCount val="1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numCache>
            </c:numRef>
          </c:cat>
          <c:val>
            <c:numRef>
              <c:extLst>
                <c:ext xmlns:c15="http://schemas.microsoft.com/office/drawing/2012/chart" uri="{02D57815-91ED-43cb-92C2-25804820EDAC}">
                  <c15:fullRef>
                    <c15:sqref>Projections!$L$132:$AN$132</c15:sqref>
                  </c15:fullRef>
                </c:ext>
              </c:extLst>
              <c:f>Projections!$L$132:$AD$132</c:f>
              <c:numCache>
                <c:formatCode>General</c:formatCode>
                <c:ptCount val="19"/>
                <c:pt idx="0">
                  <c:v>35</c:v>
                </c:pt>
                <c:pt idx="1">
                  <c:v>68</c:v>
                </c:pt>
                <c:pt idx="2" formatCode="#,##0">
                  <c:v>124</c:v>
                </c:pt>
                <c:pt idx="3" formatCode="#,##0">
                  <c:v>221</c:v>
                </c:pt>
                <c:pt idx="4" formatCode="#,##0">
                  <c:v>541</c:v>
                </c:pt>
                <c:pt idx="5" formatCode="#,##0">
                  <c:v>1301</c:v>
                </c:pt>
                <c:pt idx="6" formatCode="#,##0">
                  <c:v>2770</c:v>
                </c:pt>
                <c:pt idx="7" formatCode="#,##0">
                  <c:v>4596</c:v>
                </c:pt>
                <c:pt idx="8" formatCode="#,##0">
                  <c:v>9296</c:v>
                </c:pt>
                <c:pt idx="9" formatCode="#,##0">
                  <c:v>19497</c:v>
                </c:pt>
                <c:pt idx="10" formatCode="#,##0">
                  <c:v>33745</c:v>
                </c:pt>
                <c:pt idx="11" formatCode="#,##0">
                  <c:v>68673</c:v>
                </c:pt>
                <c:pt idx="12" formatCode="#,##0">
                  <c:v>124256</c:v>
                </c:pt>
                <c:pt idx="13" formatCode="#,##0">
                  <c:v>246729</c:v>
                </c:pt>
                <c:pt idx="14" formatCode="#,##0">
                  <c:v>532879</c:v>
                </c:pt>
                <c:pt idx="15" formatCode="#,##0">
                  <c:v>763832</c:v>
                </c:pt>
                <c:pt idx="16" formatCode="#,##0">
                  <c:v>896000</c:v>
                </c:pt>
                <c:pt idx="17" formatCode="#,##0">
                  <c:v>962560</c:v>
                </c:pt>
                <c:pt idx="18" formatCode="#,##0">
                  <c:v>1065758</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Projections!$A$122</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Projections!$L$107:$AN$107</c15:sqref>
                  </c15:fullRef>
                </c:ext>
              </c:extLst>
              <c:f>Projections!$L$107:$AD$107</c:f>
              <c:numCache>
                <c:formatCode>m/d/yyyy</c:formatCode>
                <c:ptCount val="1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numCache>
            </c:numRef>
          </c:cat>
          <c:val>
            <c:numRef>
              <c:extLst>
                <c:ext xmlns:c15="http://schemas.microsoft.com/office/drawing/2012/chart" uri="{02D57815-91ED-43cb-92C2-25804820EDAC}">
                  <c15:fullRef>
                    <c15:sqref>Projections!$L$122:$AN$122</c15:sqref>
                  </c15:fullRef>
                </c:ext>
              </c:extLst>
              <c:f>Projections!$L$122:$AD$122</c:f>
              <c:numCache>
                <c:formatCode>#,##0_ ;[Red]\-#,##0\ </c:formatCode>
                <c:ptCount val="19"/>
                <c:pt idx="0">
                  <c:v>1.65625</c:v>
                </c:pt>
                <c:pt idx="1">
                  <c:v>3.3125</c:v>
                </c:pt>
                <c:pt idx="2">
                  <c:v>6.625</c:v>
                </c:pt>
                <c:pt idx="3">
                  <c:v>13.25</c:v>
                </c:pt>
                <c:pt idx="4">
                  <c:v>26.5</c:v>
                </c:pt>
                <c:pt idx="5">
                  <c:v>53</c:v>
                </c:pt>
                <c:pt idx="6">
                  <c:v>106</c:v>
                </c:pt>
                <c:pt idx="7">
                  <c:v>212</c:v>
                </c:pt>
                <c:pt idx="8">
                  <c:v>424</c:v>
                </c:pt>
                <c:pt idx="9">
                  <c:v>848</c:v>
                </c:pt>
                <c:pt idx="10">
                  <c:v>1696</c:v>
                </c:pt>
                <c:pt idx="11">
                  <c:v>3392</c:v>
                </c:pt>
                <c:pt idx="12">
                  <c:v>6784</c:v>
                </c:pt>
                <c:pt idx="13">
                  <c:v>13568</c:v>
                </c:pt>
                <c:pt idx="14">
                  <c:v>27136</c:v>
                </c:pt>
                <c:pt idx="15">
                  <c:v>40704</c:v>
                </c:pt>
                <c:pt idx="16">
                  <c:v>47488</c:v>
                </c:pt>
                <c:pt idx="17">
                  <c:v>51015.68</c:v>
                </c:pt>
                <c:pt idx="18">
                  <c:v>54272</c:v>
                </c:pt>
              </c:numCache>
            </c:numRef>
          </c:val>
          <c:smooth val="0"/>
          <c:extLst>
            <c:ext xmlns:c16="http://schemas.microsoft.com/office/drawing/2014/chart" uri="{C3380CC4-5D6E-409C-BE32-E72D297353CC}">
              <c16:uniqueId val="{00000000-50BE-40C1-B679-81AF0BCE3FCD}"/>
            </c:ext>
          </c:extLst>
        </c:ser>
        <c:ser>
          <c:idx val="1"/>
          <c:order val="1"/>
          <c:tx>
            <c:strRef>
              <c:f>Projections!$A$136</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Projections!$L$107:$AN$107</c15:sqref>
                  </c15:fullRef>
                </c:ext>
              </c:extLst>
              <c:f>Projections!$L$107:$AD$107</c:f>
              <c:numCache>
                <c:formatCode>m/d/yyyy</c:formatCode>
                <c:ptCount val="1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numCache>
            </c:numRef>
          </c:cat>
          <c:val>
            <c:numRef>
              <c:extLst>
                <c:ext xmlns:c15="http://schemas.microsoft.com/office/drawing/2012/chart" uri="{02D57815-91ED-43cb-92C2-25804820EDAC}">
                  <c15:fullRef>
                    <c15:sqref>Projections!$L$136:$AN$136</c15:sqref>
                  </c15:fullRef>
                </c:ext>
              </c:extLst>
              <c:f>Projections!$L$136:$AD$136</c:f>
              <c:numCache>
                <c:formatCode>General</c:formatCode>
                <c:ptCount val="19"/>
                <c:pt idx="0">
                  <c:v>0</c:v>
                </c:pt>
                <c:pt idx="1">
                  <c:v>1</c:v>
                </c:pt>
                <c:pt idx="2" formatCode="#,##0">
                  <c:v>9</c:v>
                </c:pt>
                <c:pt idx="3" formatCode="#,##0">
                  <c:v>12</c:v>
                </c:pt>
                <c:pt idx="4" formatCode="#,##0">
                  <c:v>22</c:v>
                </c:pt>
                <c:pt idx="5" formatCode="#,##0">
                  <c:v>38</c:v>
                </c:pt>
                <c:pt idx="6" formatCode="#,##0">
                  <c:v>57</c:v>
                </c:pt>
                <c:pt idx="7" formatCode="#,##0">
                  <c:v>87</c:v>
                </c:pt>
                <c:pt idx="8" formatCode="#,##0">
                  <c:v>150</c:v>
                </c:pt>
                <c:pt idx="9" formatCode="#,##0">
                  <c:v>255</c:v>
                </c:pt>
                <c:pt idx="10" formatCode="#,##0">
                  <c:v>414</c:v>
                </c:pt>
                <c:pt idx="11" formatCode="#,##0">
                  <c:v>1028</c:v>
                </c:pt>
                <c:pt idx="12" formatCode="#,##0">
                  <c:v>2222</c:v>
                </c:pt>
                <c:pt idx="13" formatCode="#,##0">
                  <c:v>6088</c:v>
                </c:pt>
                <c:pt idx="14" formatCode="#,##0">
                  <c:v>20577</c:v>
                </c:pt>
                <c:pt idx="15" formatCode="#,##0">
                  <c:v>40553</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Projections!$A$118</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Projections!$L$118:$AN$118</c15:sqref>
                  </c15:fullRef>
                </c:ext>
              </c:extLst>
              <c:f>Projections!$L$118:$AE$118</c:f>
              <c:numCache>
                <c:formatCode>#,##0_ ;[Red]\-#,##0\ </c:formatCode>
                <c:ptCount val="20"/>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573.20080200802715</c:v>
                </c:pt>
                <c:pt idx="11">
                  <c:v>1576.9999999999995</c:v>
                </c:pt>
                <c:pt idx="12">
                  <c:v>4145.4455784766114</c:v>
                </c:pt>
                <c:pt idx="13">
                  <c:v>14658.884770024193</c:v>
                </c:pt>
                <c:pt idx="14">
                  <c:v>64486.753877005009</c:v>
                </c:pt>
                <c:pt idx="15">
                  <c:v>120681.5837010993</c:v>
                </c:pt>
                <c:pt idx="16">
                  <c:v>167412.55997051939</c:v>
                </c:pt>
                <c:pt idx="17">
                  <c:v>190781.17861787492</c:v>
                </c:pt>
                <c:pt idx="18">
                  <c:v>200061.07088783607</c:v>
                </c:pt>
                <c:pt idx="19">
                  <c:v>4992847.3378515299</c:v>
                </c:pt>
              </c:numCache>
            </c:numRef>
          </c:val>
          <c:smooth val="0"/>
          <c:extLst>
            <c:ext xmlns:c16="http://schemas.microsoft.com/office/drawing/2014/chart" uri="{C3380CC4-5D6E-409C-BE32-E72D297353CC}">
              <c16:uniqueId val="{00000000-A3C2-4B4C-996C-CDB1A252886F}"/>
            </c:ext>
          </c:extLst>
        </c:ser>
        <c:ser>
          <c:idx val="2"/>
          <c:order val="1"/>
          <c:tx>
            <c:strRef>
              <c:f>Projections!$A$119</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Projections!$L$119:$AN$119</c15:sqref>
                  </c15:fullRef>
                </c:ext>
              </c:extLst>
              <c:f>Projections!$L$119:$AE$119</c:f>
              <c:numCache>
                <c:formatCode>#,##0_ ;[Red]\-#,##0\ </c:formatCode>
                <c:ptCount val="20"/>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573.20080200802715</c:v>
                </c:pt>
                <c:pt idx="11">
                  <c:v>1576.9999999999995</c:v>
                </c:pt>
                <c:pt idx="12">
                  <c:v>4145.4455784766114</c:v>
                </c:pt>
                <c:pt idx="13">
                  <c:v>14658.884770024193</c:v>
                </c:pt>
                <c:pt idx="14">
                  <c:v>58944.211012749765</c:v>
                </c:pt>
                <c:pt idx="15">
                  <c:v>97306.683108386991</c:v>
                </c:pt>
                <c:pt idx="16">
                  <c:v>126693.47411498739</c:v>
                </c:pt>
                <c:pt idx="17">
                  <c:v>139644.54291810072</c:v>
                </c:pt>
                <c:pt idx="18">
                  <c:v>160827.46884757033</c:v>
                </c:pt>
                <c:pt idx="19">
                  <c:v>4426907.6828267695</c:v>
                </c:pt>
              </c:numCache>
            </c:numRef>
          </c:val>
          <c:smooth val="0"/>
          <c:extLst>
            <c:ext xmlns:c16="http://schemas.microsoft.com/office/drawing/2014/chart" uri="{C3380CC4-5D6E-409C-BE32-E72D297353CC}">
              <c16:uniqueId val="{00000001-A3C2-4B4C-996C-CDB1A252886F}"/>
            </c:ext>
          </c:extLst>
        </c:ser>
        <c:ser>
          <c:idx val="0"/>
          <c:order val="2"/>
          <c:tx>
            <c:strRef>
              <c:f>Projections!$A$120</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Projections!$L$120:$AN$120</c15:sqref>
                  </c15:fullRef>
                </c:ext>
              </c:extLst>
              <c:f>Projections!$L$120:$AE$120</c:f>
              <c:numCache>
                <c:formatCode>#,##0_ ;[Red]\-#,##0\ </c:formatCode>
                <c:ptCount val="20"/>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123.66071428571428</c:v>
                </c:pt>
                <c:pt idx="13">
                  <c:v>514.38422097436683</c:v>
                </c:pt>
                <c:pt idx="14">
                  <c:v>5547.1428571428523</c:v>
                </c:pt>
                <c:pt idx="15">
                  <c:v>23467.832178104338</c:v>
                </c:pt>
                <c:pt idx="16">
                  <c:v>42396.91154169471</c:v>
                </c:pt>
                <c:pt idx="17">
                  <c:v>56919.234564517807</c:v>
                </c:pt>
                <c:pt idx="18">
                  <c:v>63014.989810986117</c:v>
                </c:pt>
                <c:pt idx="19">
                  <c:v>555817.40744357242</c:v>
                </c:pt>
              </c:numCache>
            </c:numRef>
          </c:val>
          <c:smooth val="0"/>
          <c:extLst>
            <c:ext xmlns:c16="http://schemas.microsoft.com/office/drawing/2014/chart" uri="{C3380CC4-5D6E-409C-BE32-E72D297353CC}">
              <c16:uniqueId val="{00000002-A3C2-4B4C-996C-CDB1A252886F}"/>
            </c:ext>
          </c:extLst>
        </c:ser>
        <c:ser>
          <c:idx val="4"/>
          <c:order val="3"/>
          <c:tx>
            <c:strRef>
              <c:f>Projections!$A$121</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Projections!$L$121:$AN$121</c15:sqref>
                  </c15:fullRef>
                </c:ext>
              </c:extLst>
              <c:f>Projections!$L$121:$AE$121</c:f>
              <c:numCache>
                <c:formatCode>#,##0_ ;[Red]\-#,##0\ </c:formatCode>
                <c:ptCount val="20"/>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121.90833273345505</c:v>
                </c:pt>
                <c:pt idx="13">
                  <c:v>511.27485454338046</c:v>
                </c:pt>
                <c:pt idx="14">
                  <c:v>5534.0428642552415</c:v>
                </c:pt>
                <c:pt idx="15">
                  <c:v>23301.234511703671</c:v>
                </c:pt>
                <c:pt idx="16">
                  <c:v>40015.117670784297</c:v>
                </c:pt>
                <c:pt idx="17">
                  <c:v>41507.535645714423</c:v>
                </c:pt>
                <c:pt idx="18">
                  <c:v>952.22239709334099</c:v>
                </c:pt>
                <c:pt idx="19">
                  <c:v>437192.52497634443</c:v>
                </c:pt>
              </c:numCache>
            </c:numRef>
          </c:val>
          <c:smooth val="0"/>
          <c:extLst>
            <c:ext xmlns:c16="http://schemas.microsoft.com/office/drawing/2014/chart" uri="{C3380CC4-5D6E-409C-BE32-E72D297353CC}">
              <c16:uniqueId val="{00000003-A3C2-4B4C-996C-CDB1A252886F}"/>
            </c:ext>
          </c:extLst>
        </c:ser>
        <c:ser>
          <c:idx val="1"/>
          <c:order val="4"/>
          <c:tx>
            <c:strRef>
              <c:f>Projections!$A$122</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Projections!$L$122:$AN$122</c15:sqref>
                  </c15:fullRef>
                </c:ext>
              </c:extLst>
              <c:f>Projections!$L$122:$AE$122</c:f>
              <c:numCache>
                <c:formatCode>#,##0_ ;[Red]\-#,##0\ </c:formatCode>
                <c:ptCount val="20"/>
                <c:pt idx="0">
                  <c:v>1.65625</c:v>
                </c:pt>
                <c:pt idx="1">
                  <c:v>3.3125</c:v>
                </c:pt>
                <c:pt idx="2">
                  <c:v>6.625</c:v>
                </c:pt>
                <c:pt idx="3">
                  <c:v>13.25</c:v>
                </c:pt>
                <c:pt idx="4">
                  <c:v>26.5</c:v>
                </c:pt>
                <c:pt idx="5">
                  <c:v>53</c:v>
                </c:pt>
                <c:pt idx="6">
                  <c:v>106</c:v>
                </c:pt>
                <c:pt idx="7">
                  <c:v>212</c:v>
                </c:pt>
                <c:pt idx="8">
                  <c:v>424</c:v>
                </c:pt>
                <c:pt idx="9">
                  <c:v>848</c:v>
                </c:pt>
                <c:pt idx="10">
                  <c:v>1696</c:v>
                </c:pt>
                <c:pt idx="11">
                  <c:v>3392</c:v>
                </c:pt>
                <c:pt idx="12">
                  <c:v>6784</c:v>
                </c:pt>
                <c:pt idx="13">
                  <c:v>13568</c:v>
                </c:pt>
                <c:pt idx="14">
                  <c:v>27136</c:v>
                </c:pt>
                <c:pt idx="15">
                  <c:v>40704</c:v>
                </c:pt>
                <c:pt idx="16">
                  <c:v>47488</c:v>
                </c:pt>
                <c:pt idx="17">
                  <c:v>51015.68</c:v>
                </c:pt>
                <c:pt idx="18">
                  <c:v>54272</c:v>
                </c:pt>
                <c:pt idx="19">
                  <c:v>108544</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Projections!$A$140</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Projections!$L$140:$AN$140</c15:sqref>
                  </c15:fullRef>
                </c:ext>
              </c:extLst>
              <c:f>Projections!$L$140:$AE$140</c:f>
              <c:numCache>
                <c:formatCode>#,##0</c:formatCode>
                <c:ptCount val="20"/>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22155.169324493818</c:v>
                </c:pt>
                <c:pt idx="16">
                  <c:v>25847.697545242787</c:v>
                </c:pt>
                <c:pt idx="17">
                  <c:v>27767.81222003225</c:v>
                </c:pt>
                <c:pt idx="18">
                  <c:v>29540.225765991756</c:v>
                </c:pt>
                <c:pt idx="19">
                  <c:v>59080.451531983512</c:v>
                </c:pt>
              </c:numCache>
            </c:numRef>
          </c:val>
          <c:smooth val="0"/>
          <c:extLst>
            <c:ext xmlns:c16="http://schemas.microsoft.com/office/drawing/2014/chart" uri="{C3380CC4-5D6E-409C-BE32-E72D297353CC}">
              <c16:uniqueId val="{00000000-7972-43AB-83E8-C2C99B4277B0}"/>
            </c:ext>
          </c:extLst>
        </c:ser>
        <c:ser>
          <c:idx val="2"/>
          <c:order val="1"/>
          <c:tx>
            <c:strRef>
              <c:f>Projections!$A$142</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Projections!$L$142:$AN$142</c15:sqref>
                  </c15:fullRef>
                </c:ext>
              </c:extLst>
              <c:f>Projections!$L$142:$AE$142</c:f>
              <c:numCache>
                <c:formatCode>#,##0</c:formatCode>
                <c:ptCount val="20"/>
                <c:pt idx="0">
                  <c:v>3.3316161978140117</c:v>
                </c:pt>
                <c:pt idx="1">
                  <c:v>6.6632323956280235</c:v>
                </c:pt>
                <c:pt idx="2">
                  <c:v>13.326464791256047</c:v>
                </c:pt>
                <c:pt idx="3">
                  <c:v>26.652929582512094</c:v>
                </c:pt>
                <c:pt idx="4">
                  <c:v>53.305859165024188</c:v>
                </c:pt>
                <c:pt idx="5">
                  <c:v>106.61171833004838</c:v>
                </c:pt>
                <c:pt idx="6">
                  <c:v>213.22343666009675</c:v>
                </c:pt>
                <c:pt idx="7">
                  <c:v>426.4468733201935</c:v>
                </c:pt>
                <c:pt idx="8">
                  <c:v>852.89374664038701</c:v>
                </c:pt>
                <c:pt idx="9">
                  <c:v>1705.787493280774</c:v>
                </c:pt>
                <c:pt idx="10">
                  <c:v>3411.574986561548</c:v>
                </c:pt>
                <c:pt idx="11">
                  <c:v>6823.1499731230961</c:v>
                </c:pt>
                <c:pt idx="12">
                  <c:v>13646.299946246192</c:v>
                </c:pt>
                <c:pt idx="13">
                  <c:v>27292.599892492384</c:v>
                </c:pt>
                <c:pt idx="14">
                  <c:v>54585.199784984768</c:v>
                </c:pt>
                <c:pt idx="15">
                  <c:v>81877.799677477145</c:v>
                </c:pt>
                <c:pt idx="16">
                  <c:v>95524.099623723334</c:v>
                </c:pt>
                <c:pt idx="17">
                  <c:v>102620.17559577136</c:v>
                </c:pt>
                <c:pt idx="18">
                  <c:v>109170.39956996954</c:v>
                </c:pt>
                <c:pt idx="19">
                  <c:v>218340.79913993907</c:v>
                </c:pt>
              </c:numCache>
            </c:numRef>
          </c:val>
          <c:smooth val="0"/>
          <c:extLst>
            <c:ext xmlns:c16="http://schemas.microsoft.com/office/drawing/2014/chart" uri="{C3380CC4-5D6E-409C-BE32-E72D297353CC}">
              <c16:uniqueId val="{00000001-7972-43AB-83E8-C2C99B4277B0}"/>
            </c:ext>
          </c:extLst>
        </c:ser>
        <c:ser>
          <c:idx val="4"/>
          <c:order val="2"/>
          <c:tx>
            <c:strRef>
              <c:f>Projections!$A$144</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Projections!$L$144:$AN$144</c15:sqref>
                  </c15:fullRef>
                </c:ext>
              </c:extLst>
              <c:f>Projections!$L$144:$AE$144</c:f>
              <c:numCache>
                <c:formatCode>#,##0</c:formatCode>
                <c:ptCount val="20"/>
                <c:pt idx="0">
                  <c:v>5.2297975273248518</c:v>
                </c:pt>
                <c:pt idx="1">
                  <c:v>10.459595054649704</c:v>
                </c:pt>
                <c:pt idx="2">
                  <c:v>20.919190109299407</c:v>
                </c:pt>
                <c:pt idx="3">
                  <c:v>41.838380218598815</c:v>
                </c:pt>
                <c:pt idx="4">
                  <c:v>83.676760437197629</c:v>
                </c:pt>
                <c:pt idx="5">
                  <c:v>167.35352087439526</c:v>
                </c:pt>
                <c:pt idx="6">
                  <c:v>334.70704174879052</c:v>
                </c:pt>
                <c:pt idx="7">
                  <c:v>669.41408349758103</c:v>
                </c:pt>
                <c:pt idx="8">
                  <c:v>1338.8281669951621</c:v>
                </c:pt>
                <c:pt idx="9">
                  <c:v>2677.6563339903241</c:v>
                </c:pt>
                <c:pt idx="10">
                  <c:v>5355.3126679806483</c:v>
                </c:pt>
                <c:pt idx="11">
                  <c:v>10710.625335961297</c:v>
                </c:pt>
                <c:pt idx="12">
                  <c:v>21421.250671922593</c:v>
                </c:pt>
                <c:pt idx="13">
                  <c:v>42842.501343845186</c:v>
                </c:pt>
                <c:pt idx="14">
                  <c:v>85685.002687690372</c:v>
                </c:pt>
                <c:pt idx="15">
                  <c:v>128527.50403153556</c:v>
                </c:pt>
                <c:pt idx="16">
                  <c:v>149948.75470345814</c:v>
                </c:pt>
                <c:pt idx="17">
                  <c:v>161087.8050528579</c:v>
                </c:pt>
                <c:pt idx="18">
                  <c:v>171370.00537538074</c:v>
                </c:pt>
                <c:pt idx="19">
                  <c:v>342740.01075076149</c:v>
                </c:pt>
              </c:numCache>
            </c:numRef>
          </c:val>
          <c:smooth val="0"/>
          <c:extLst>
            <c:ext xmlns:c16="http://schemas.microsoft.com/office/drawing/2014/chart" uri="{C3380CC4-5D6E-409C-BE32-E72D297353CC}">
              <c16:uniqueId val="{00000002-7972-43AB-83E8-C2C99B4277B0}"/>
            </c:ext>
          </c:extLst>
        </c:ser>
        <c:ser>
          <c:idx val="6"/>
          <c:order val="3"/>
          <c:tx>
            <c:strRef>
              <c:f>Projections!$A$146</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Projections!$L$146:$AN$146</c15:sqref>
                  </c15:fullRef>
                </c:ext>
              </c:extLst>
              <c:f>Projections!$L$146:$AE$146</c:f>
              <c:numCache>
                <c:formatCode>#,##0</c:formatCode>
                <c:ptCount val="20"/>
                <c:pt idx="0">
                  <c:v>4.8546407453861313</c:v>
                </c:pt>
                <c:pt idx="1">
                  <c:v>9.7092814907722627</c:v>
                </c:pt>
                <c:pt idx="2">
                  <c:v>19.418562981544525</c:v>
                </c:pt>
                <c:pt idx="3">
                  <c:v>38.837125963089051</c:v>
                </c:pt>
                <c:pt idx="4">
                  <c:v>77.674251926178101</c:v>
                </c:pt>
                <c:pt idx="5">
                  <c:v>155.3485038523562</c:v>
                </c:pt>
                <c:pt idx="6">
                  <c:v>310.69700770471241</c:v>
                </c:pt>
                <c:pt idx="7">
                  <c:v>621.39401540942481</c:v>
                </c:pt>
                <c:pt idx="8">
                  <c:v>1242.7880308188496</c:v>
                </c:pt>
                <c:pt idx="9">
                  <c:v>2485.5760616376992</c:v>
                </c:pt>
                <c:pt idx="10">
                  <c:v>4971.1521232753985</c:v>
                </c:pt>
                <c:pt idx="11">
                  <c:v>9942.304246550797</c:v>
                </c:pt>
                <c:pt idx="12">
                  <c:v>19884.608493101594</c:v>
                </c:pt>
                <c:pt idx="13">
                  <c:v>39769.216986203188</c:v>
                </c:pt>
                <c:pt idx="14">
                  <c:v>79538.433972406376</c:v>
                </c:pt>
                <c:pt idx="15">
                  <c:v>119307.65095860958</c:v>
                </c:pt>
                <c:pt idx="16">
                  <c:v>139192.25945171117</c:v>
                </c:pt>
                <c:pt idx="17">
                  <c:v>149532.25586812399</c:v>
                </c:pt>
                <c:pt idx="18">
                  <c:v>159076.86794481275</c:v>
                </c:pt>
                <c:pt idx="19">
                  <c:v>318153.7358896255</c:v>
                </c:pt>
              </c:numCache>
            </c:numRef>
          </c:val>
          <c:smooth val="0"/>
          <c:extLst>
            <c:ext xmlns:c16="http://schemas.microsoft.com/office/drawing/2014/chart" uri="{C3380CC4-5D6E-409C-BE32-E72D297353CC}">
              <c16:uniqueId val="{00000003-7972-43AB-83E8-C2C99B4277B0}"/>
            </c:ext>
          </c:extLst>
        </c:ser>
        <c:ser>
          <c:idx val="8"/>
          <c:order val="4"/>
          <c:tx>
            <c:strRef>
              <c:f>Projections!$A$148</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Projections!$L$148:$AN$148</c15:sqref>
                  </c15:fullRef>
                </c:ext>
              </c:extLst>
              <c:f>Projections!$L$148:$AE$148</c:f>
              <c:numCache>
                <c:formatCode>#,##0</c:formatCode>
                <c:ptCount val="20"/>
                <c:pt idx="0">
                  <c:v>4.0539329869199063</c:v>
                </c:pt>
                <c:pt idx="1">
                  <c:v>8.1078659738398127</c:v>
                </c:pt>
                <c:pt idx="2">
                  <c:v>16.215731947679625</c:v>
                </c:pt>
                <c:pt idx="3">
                  <c:v>32.431463895359251</c:v>
                </c:pt>
                <c:pt idx="4">
                  <c:v>64.862927790718501</c:v>
                </c:pt>
                <c:pt idx="5">
                  <c:v>129.725855581437</c:v>
                </c:pt>
                <c:pt idx="6">
                  <c:v>259.45171116287401</c:v>
                </c:pt>
                <c:pt idx="7">
                  <c:v>518.90342232574801</c:v>
                </c:pt>
                <c:pt idx="8">
                  <c:v>1037.806844651496</c:v>
                </c:pt>
                <c:pt idx="9">
                  <c:v>2075.613689302992</c:v>
                </c:pt>
                <c:pt idx="10">
                  <c:v>4151.2273786059841</c:v>
                </c:pt>
                <c:pt idx="11">
                  <c:v>8302.4547572119682</c:v>
                </c:pt>
                <c:pt idx="12">
                  <c:v>16604.909514423936</c:v>
                </c:pt>
                <c:pt idx="13">
                  <c:v>33209.819028847873</c:v>
                </c:pt>
                <c:pt idx="14">
                  <c:v>66419.638057695745</c:v>
                </c:pt>
                <c:pt idx="15">
                  <c:v>99629.457086543625</c:v>
                </c:pt>
                <c:pt idx="16">
                  <c:v>116234.36660096757</c:v>
                </c:pt>
                <c:pt idx="17">
                  <c:v>124868.91954846801</c:v>
                </c:pt>
                <c:pt idx="18">
                  <c:v>132839.27611539149</c:v>
                </c:pt>
                <c:pt idx="19">
                  <c:v>265678.55223078298</c:v>
                </c:pt>
              </c:numCache>
            </c:numRef>
          </c:val>
          <c:smooth val="0"/>
          <c:extLst>
            <c:ext xmlns:c16="http://schemas.microsoft.com/office/drawing/2014/chart" uri="{C3380CC4-5D6E-409C-BE32-E72D297353CC}">
              <c16:uniqueId val="{00000004-7972-43AB-83E8-C2C99B4277B0}"/>
            </c:ext>
          </c:extLst>
        </c:ser>
        <c:ser>
          <c:idx val="10"/>
          <c:order val="5"/>
          <c:tx>
            <c:strRef>
              <c:f>Projections!$A$150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Projections!$L$150:$AN$150</c15:sqref>
                  </c15:fullRef>
                </c:ext>
              </c:extLst>
              <c:f>Projections!$L$150:$AE$150</c:f>
              <c:numCache>
                <c:formatCode>#,##0</c:formatCode>
                <c:ptCount val="20"/>
                <c:pt idx="0">
                  <c:v>4.9162336498835328</c:v>
                </c:pt>
                <c:pt idx="1">
                  <c:v>9.8324672997670657</c:v>
                </c:pt>
                <c:pt idx="2">
                  <c:v>19.664934599534131</c:v>
                </c:pt>
                <c:pt idx="3">
                  <c:v>39.329869199068263</c:v>
                </c:pt>
                <c:pt idx="4">
                  <c:v>78.659738398136525</c:v>
                </c:pt>
                <c:pt idx="5">
                  <c:v>157.31947679627305</c:v>
                </c:pt>
                <c:pt idx="6">
                  <c:v>314.6389535925461</c:v>
                </c:pt>
                <c:pt idx="7">
                  <c:v>629.2779071850922</c:v>
                </c:pt>
                <c:pt idx="8">
                  <c:v>1258.5558143701844</c:v>
                </c:pt>
                <c:pt idx="9">
                  <c:v>2517.1116287403688</c:v>
                </c:pt>
                <c:pt idx="10">
                  <c:v>5034.2232574807376</c:v>
                </c:pt>
                <c:pt idx="11">
                  <c:v>10068.446514961475</c:v>
                </c:pt>
                <c:pt idx="12">
                  <c:v>20136.893029922951</c:v>
                </c:pt>
                <c:pt idx="13">
                  <c:v>40273.786059845901</c:v>
                </c:pt>
                <c:pt idx="14">
                  <c:v>80547.572119691802</c:v>
                </c:pt>
                <c:pt idx="15">
                  <c:v>120821.35817953771</c:v>
                </c:pt>
                <c:pt idx="16">
                  <c:v>140958.25120946066</c:v>
                </c:pt>
                <c:pt idx="17">
                  <c:v>151429.4355850206</c:v>
                </c:pt>
                <c:pt idx="18">
                  <c:v>161095.1442393836</c:v>
                </c:pt>
                <c:pt idx="19">
                  <c:v>322190.28847876721</c:v>
                </c:pt>
              </c:numCache>
            </c:numRef>
          </c:val>
          <c:smooth val="0"/>
          <c:extLst>
            <c:ext xmlns:c16="http://schemas.microsoft.com/office/drawing/2014/chart" uri="{C3380CC4-5D6E-409C-BE32-E72D297353CC}">
              <c16:uniqueId val="{00000005-7972-43AB-83E8-C2C99B4277B0}"/>
            </c:ext>
          </c:extLst>
        </c:ser>
        <c:ser>
          <c:idx val="12"/>
          <c:order val="6"/>
          <c:tx>
            <c:strRef>
              <c:f>Projections!$A$152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Projections!$L$152:$AN$152</c15:sqref>
                  </c15:fullRef>
                </c:ext>
              </c:extLst>
              <c:f>Projections!$L$152:$AE$152</c:f>
              <c:numCache>
                <c:formatCode>#,##0</c:formatCode>
                <c:ptCount val="20"/>
                <c:pt idx="0">
                  <c:v>6.7528220748969714</c:v>
                </c:pt>
                <c:pt idx="1">
                  <c:v>13.505644149793943</c:v>
                </c:pt>
                <c:pt idx="2">
                  <c:v>27.011288299587886</c:v>
                </c:pt>
                <c:pt idx="3">
                  <c:v>54.022576599175771</c:v>
                </c:pt>
                <c:pt idx="4">
                  <c:v>108.04515319835154</c:v>
                </c:pt>
                <c:pt idx="5">
                  <c:v>216.09030639670308</c:v>
                </c:pt>
                <c:pt idx="6">
                  <c:v>432.18061279340617</c:v>
                </c:pt>
                <c:pt idx="7">
                  <c:v>864.36122558681234</c:v>
                </c:pt>
                <c:pt idx="8">
                  <c:v>1728.7224511736247</c:v>
                </c:pt>
                <c:pt idx="9">
                  <c:v>3457.4449023472494</c:v>
                </c:pt>
                <c:pt idx="10">
                  <c:v>6914.8898046944987</c:v>
                </c:pt>
                <c:pt idx="11">
                  <c:v>13829.779609388997</c:v>
                </c:pt>
                <c:pt idx="12">
                  <c:v>27659.559218777995</c:v>
                </c:pt>
                <c:pt idx="13">
                  <c:v>55319.11843755599</c:v>
                </c:pt>
                <c:pt idx="14">
                  <c:v>110638.23687511198</c:v>
                </c:pt>
                <c:pt idx="15">
                  <c:v>165957.35531266799</c:v>
                </c:pt>
                <c:pt idx="16">
                  <c:v>193616.91453144597</c:v>
                </c:pt>
                <c:pt idx="17">
                  <c:v>207999.88532521055</c:v>
                </c:pt>
                <c:pt idx="18">
                  <c:v>221276.47375022396</c:v>
                </c:pt>
                <c:pt idx="19">
                  <c:v>442552.94750044792</c:v>
                </c:pt>
              </c:numCache>
            </c:numRef>
          </c:val>
          <c:smooth val="0"/>
          <c:extLst>
            <c:ext xmlns:c16="http://schemas.microsoft.com/office/drawing/2014/chart" uri="{C3380CC4-5D6E-409C-BE32-E72D297353CC}">
              <c16:uniqueId val="{00000006-7972-43AB-83E8-C2C99B4277B0}"/>
            </c:ext>
          </c:extLst>
        </c:ser>
        <c:ser>
          <c:idx val="14"/>
          <c:order val="7"/>
          <c:tx>
            <c:strRef>
              <c:f>Projections!$A$154</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Projections!$L$154:$AN$154</c15:sqref>
                  </c15:fullRef>
                </c:ext>
              </c:extLst>
              <c:f>Projections!$L$154:$AE$154</c:f>
              <c:numCache>
                <c:formatCode>#,##0</c:formatCode>
                <c:ptCount val="20"/>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22155.169324493818</c:v>
                </c:pt>
                <c:pt idx="16">
                  <c:v>25847.697545242787</c:v>
                </c:pt>
                <c:pt idx="17">
                  <c:v>27767.81222003225</c:v>
                </c:pt>
                <c:pt idx="18">
                  <c:v>29540.225765991756</c:v>
                </c:pt>
                <c:pt idx="19">
                  <c:v>59080.451531983512</c:v>
                </c:pt>
              </c:numCache>
            </c:numRef>
          </c:val>
          <c:smooth val="0"/>
          <c:extLst>
            <c:ext xmlns:c16="http://schemas.microsoft.com/office/drawing/2014/chart" uri="{C3380CC4-5D6E-409C-BE32-E72D297353CC}">
              <c16:uniqueId val="{00000007-7972-43AB-83E8-C2C99B4277B0}"/>
            </c:ext>
          </c:extLst>
        </c:ser>
        <c:ser>
          <c:idx val="16"/>
          <c:order val="8"/>
          <c:tx>
            <c:strRef>
              <c:f>Projections!$A$156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Projections!$L$156:$AN$156</c15:sqref>
                  </c15:fullRef>
                </c:ext>
              </c:extLst>
              <c:f>Projections!$L$156:$AE$156</c:f>
              <c:numCache>
                <c:formatCode>#,##0</c:formatCode>
                <c:ptCount val="20"/>
                <c:pt idx="0">
                  <c:v>0.30796452248700945</c:v>
                </c:pt>
                <c:pt idx="1">
                  <c:v>0.6159290449740189</c:v>
                </c:pt>
                <c:pt idx="2">
                  <c:v>1.2318580899480378</c:v>
                </c:pt>
                <c:pt idx="3">
                  <c:v>2.4637161798960756</c:v>
                </c:pt>
                <c:pt idx="4">
                  <c:v>4.9274323597921512</c:v>
                </c:pt>
                <c:pt idx="5">
                  <c:v>9.8548647195843024</c:v>
                </c:pt>
                <c:pt idx="6">
                  <c:v>19.709729439168605</c:v>
                </c:pt>
                <c:pt idx="7">
                  <c:v>39.41945887833721</c:v>
                </c:pt>
                <c:pt idx="8">
                  <c:v>78.838917756674419</c:v>
                </c:pt>
                <c:pt idx="9">
                  <c:v>157.67783551334884</c:v>
                </c:pt>
                <c:pt idx="10">
                  <c:v>315.35567102669768</c:v>
                </c:pt>
                <c:pt idx="11">
                  <c:v>630.71134205339536</c:v>
                </c:pt>
                <c:pt idx="12">
                  <c:v>1261.4226841067907</c:v>
                </c:pt>
                <c:pt idx="13">
                  <c:v>2522.8453682135814</c:v>
                </c:pt>
                <c:pt idx="14">
                  <c:v>5045.6907364271628</c:v>
                </c:pt>
                <c:pt idx="15">
                  <c:v>7568.5361046407452</c:v>
                </c:pt>
                <c:pt idx="16">
                  <c:v>8829.9587887475354</c:v>
                </c:pt>
                <c:pt idx="17">
                  <c:v>9485.8985844830677</c:v>
                </c:pt>
                <c:pt idx="18">
                  <c:v>10091.381472854326</c:v>
                </c:pt>
                <c:pt idx="19">
                  <c:v>20182.762945708651</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Projections!$A$140</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Projections!$L$141:$AN$141</c15:sqref>
                  </c15:fullRef>
                </c:ext>
              </c:extLst>
              <c:f>Projections!$L$141:$AE$141</c:f>
              <c:numCache>
                <c:formatCode>#,##0</c:formatCode>
                <c:ptCount val="20"/>
                <c:pt idx="0">
                  <c:v>0.13342142985128111</c:v>
                </c:pt>
                <c:pt idx="1">
                  <c:v>0.26684285970256222</c:v>
                </c:pt>
                <c:pt idx="2">
                  <c:v>0.53368571940512444</c:v>
                </c:pt>
                <c:pt idx="3">
                  <c:v>1.0673714388102489</c:v>
                </c:pt>
                <c:pt idx="4">
                  <c:v>2.1347428776204977</c:v>
                </c:pt>
                <c:pt idx="5">
                  <c:v>4.2694857552409955</c:v>
                </c:pt>
                <c:pt idx="6">
                  <c:v>8.538971510481991</c:v>
                </c:pt>
                <c:pt idx="7">
                  <c:v>17.077943020963982</c:v>
                </c:pt>
                <c:pt idx="8">
                  <c:v>34.155886041927964</c:v>
                </c:pt>
                <c:pt idx="9">
                  <c:v>68.311772083855928</c:v>
                </c:pt>
                <c:pt idx="10">
                  <c:v>136.62354416771186</c:v>
                </c:pt>
                <c:pt idx="11">
                  <c:v>273.24708833542371</c:v>
                </c:pt>
                <c:pt idx="12">
                  <c:v>546.49417667084742</c:v>
                </c:pt>
                <c:pt idx="13">
                  <c:v>1092.9883533416948</c:v>
                </c:pt>
                <c:pt idx="14">
                  <c:v>2185.9767066833897</c:v>
                </c:pt>
                <c:pt idx="15">
                  <c:v>3278.9650600250848</c:v>
                </c:pt>
                <c:pt idx="16">
                  <c:v>3825.4592366959323</c:v>
                </c:pt>
                <c:pt idx="17">
                  <c:v>4109.6362085647725</c:v>
                </c:pt>
                <c:pt idx="18">
                  <c:v>4371.9534133667794</c:v>
                </c:pt>
                <c:pt idx="19">
                  <c:v>8743.9068267335588</c:v>
                </c:pt>
              </c:numCache>
            </c:numRef>
          </c:val>
          <c:smooth val="0"/>
          <c:extLst>
            <c:ext xmlns:c16="http://schemas.microsoft.com/office/drawing/2014/chart" uri="{C3380CC4-5D6E-409C-BE32-E72D297353CC}">
              <c16:uniqueId val="{00000000-FE50-482D-905D-7C3B099138E4}"/>
            </c:ext>
          </c:extLst>
        </c:ser>
        <c:ser>
          <c:idx val="3"/>
          <c:order val="1"/>
          <c:tx>
            <c:strRef>
              <c:f>Projections!$A$142</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Projections!$L$143:$AN$143</c15:sqref>
                  </c15:fullRef>
                </c:ext>
              </c:extLst>
              <c:f>Projections!$L$143:$AE$143</c:f>
              <c:numCache>
                <c:formatCode>#,##0</c:formatCode>
                <c:ptCount val="20"/>
                <c:pt idx="0">
                  <c:v>0.26652929582512097</c:v>
                </c:pt>
                <c:pt idx="1">
                  <c:v>0.53305859165024194</c:v>
                </c:pt>
                <c:pt idx="2">
                  <c:v>1.0661171833004839</c:v>
                </c:pt>
                <c:pt idx="3">
                  <c:v>2.1322343666009678</c:v>
                </c:pt>
                <c:pt idx="4">
                  <c:v>4.2644687332019355</c:v>
                </c:pt>
                <c:pt idx="5">
                  <c:v>8.5289374664038711</c:v>
                </c:pt>
                <c:pt idx="6">
                  <c:v>17.057874932807742</c:v>
                </c:pt>
                <c:pt idx="7">
                  <c:v>34.115749865615484</c:v>
                </c:pt>
                <c:pt idx="8">
                  <c:v>68.231499731230969</c:v>
                </c:pt>
                <c:pt idx="9">
                  <c:v>136.46299946246194</c:v>
                </c:pt>
                <c:pt idx="10">
                  <c:v>272.92599892492387</c:v>
                </c:pt>
                <c:pt idx="11">
                  <c:v>545.85199784984775</c:v>
                </c:pt>
                <c:pt idx="12">
                  <c:v>1091.7039956996955</c:v>
                </c:pt>
                <c:pt idx="13">
                  <c:v>2183.407991399391</c:v>
                </c:pt>
                <c:pt idx="14">
                  <c:v>4366.815982798782</c:v>
                </c:pt>
                <c:pt idx="15">
                  <c:v>6550.2239741981721</c:v>
                </c:pt>
                <c:pt idx="16">
                  <c:v>7641.9279698978671</c:v>
                </c:pt>
                <c:pt idx="17">
                  <c:v>8209.6140476617093</c:v>
                </c:pt>
                <c:pt idx="18">
                  <c:v>8733.631965597564</c:v>
                </c:pt>
                <c:pt idx="19">
                  <c:v>17467.263931195128</c:v>
                </c:pt>
              </c:numCache>
            </c:numRef>
          </c:val>
          <c:smooth val="0"/>
          <c:extLst>
            <c:ext xmlns:c16="http://schemas.microsoft.com/office/drawing/2014/chart" uri="{C3380CC4-5D6E-409C-BE32-E72D297353CC}">
              <c16:uniqueId val="{00000001-FE50-482D-905D-7C3B099138E4}"/>
            </c:ext>
          </c:extLst>
        </c:ser>
        <c:ser>
          <c:idx val="5"/>
          <c:order val="2"/>
          <c:tx>
            <c:strRef>
              <c:f>Projections!$A$144</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Projections!$L$145:$AN$145</c15:sqref>
                  </c15:fullRef>
                </c:ext>
              </c:extLst>
              <c:f>Projections!$L$145:$AE$145</c:f>
              <c:numCache>
                <c:formatCode>#,##0</c:formatCode>
                <c:ptCount val="20"/>
                <c:pt idx="0">
                  <c:v>0.18827271098369466</c:v>
                </c:pt>
                <c:pt idx="1">
                  <c:v>0.37654542196738933</c:v>
                </c:pt>
                <c:pt idx="2">
                  <c:v>0.75309084393477865</c:v>
                </c:pt>
                <c:pt idx="3">
                  <c:v>1.5061816878695573</c:v>
                </c:pt>
                <c:pt idx="4">
                  <c:v>3.0123633757391146</c:v>
                </c:pt>
                <c:pt idx="5">
                  <c:v>6.0247267514782292</c:v>
                </c:pt>
                <c:pt idx="6">
                  <c:v>12.049453502956458</c:v>
                </c:pt>
                <c:pt idx="7">
                  <c:v>24.098907005912917</c:v>
                </c:pt>
                <c:pt idx="8">
                  <c:v>48.197814011825834</c:v>
                </c:pt>
                <c:pt idx="9">
                  <c:v>96.395628023651668</c:v>
                </c:pt>
                <c:pt idx="10">
                  <c:v>192.79125604730334</c:v>
                </c:pt>
                <c:pt idx="11">
                  <c:v>385.58251209460667</c:v>
                </c:pt>
                <c:pt idx="12">
                  <c:v>771.16502418921334</c:v>
                </c:pt>
                <c:pt idx="13">
                  <c:v>1542.3300483784267</c:v>
                </c:pt>
                <c:pt idx="14">
                  <c:v>3084.6600967568534</c:v>
                </c:pt>
                <c:pt idx="15">
                  <c:v>4626.9901451352798</c:v>
                </c:pt>
                <c:pt idx="16">
                  <c:v>5398.1551693244928</c:v>
                </c:pt>
                <c:pt idx="17">
                  <c:v>5799.1609819028845</c:v>
                </c:pt>
                <c:pt idx="18">
                  <c:v>6169.3201935137067</c:v>
                </c:pt>
                <c:pt idx="19">
                  <c:v>12338.640387027413</c:v>
                </c:pt>
              </c:numCache>
            </c:numRef>
          </c:val>
          <c:smooth val="0"/>
          <c:extLst>
            <c:ext xmlns:c16="http://schemas.microsoft.com/office/drawing/2014/chart" uri="{C3380CC4-5D6E-409C-BE32-E72D297353CC}">
              <c16:uniqueId val="{00000002-FE50-482D-905D-7C3B099138E4}"/>
            </c:ext>
          </c:extLst>
        </c:ser>
        <c:ser>
          <c:idx val="7"/>
          <c:order val="3"/>
          <c:tx>
            <c:strRef>
              <c:f>Projections!$A$146</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Projections!$L$147:$AN$147</c15:sqref>
                  </c15:fullRef>
                </c:ext>
              </c:extLst>
              <c:f>Projections!$L$147:$AE$147</c:f>
              <c:numCache>
                <c:formatCode>#,##0</c:formatCode>
                <c:ptCount val="20"/>
                <c:pt idx="0">
                  <c:v>6.3110329690019701E-2</c:v>
                </c:pt>
                <c:pt idx="1">
                  <c:v>0.1262206593800394</c:v>
                </c:pt>
                <c:pt idx="2">
                  <c:v>0.2524413187600788</c:v>
                </c:pt>
                <c:pt idx="3">
                  <c:v>0.50488263752015761</c:v>
                </c:pt>
                <c:pt idx="4">
                  <c:v>1.0097652750403152</c:v>
                </c:pt>
                <c:pt idx="5">
                  <c:v>2.0195305500806304</c:v>
                </c:pt>
                <c:pt idx="6">
                  <c:v>4.0390611001612609</c:v>
                </c:pt>
                <c:pt idx="7">
                  <c:v>8.0781222003225217</c:v>
                </c:pt>
                <c:pt idx="8">
                  <c:v>16.156244400645043</c:v>
                </c:pt>
                <c:pt idx="9">
                  <c:v>32.312488801290087</c:v>
                </c:pt>
                <c:pt idx="10">
                  <c:v>64.624977602580174</c:v>
                </c:pt>
                <c:pt idx="11">
                  <c:v>129.24995520516035</c:v>
                </c:pt>
                <c:pt idx="12">
                  <c:v>258.49991041032069</c:v>
                </c:pt>
                <c:pt idx="13">
                  <c:v>516.99982082064139</c:v>
                </c:pt>
                <c:pt idx="14">
                  <c:v>1033.9996416412828</c:v>
                </c:pt>
                <c:pt idx="15">
                  <c:v>1550.9994624619244</c:v>
                </c:pt>
                <c:pt idx="16">
                  <c:v>1809.4993728722452</c:v>
                </c:pt>
                <c:pt idx="17">
                  <c:v>1943.9193262856118</c:v>
                </c:pt>
                <c:pt idx="18">
                  <c:v>2067.9992832825656</c:v>
                </c:pt>
                <c:pt idx="19">
                  <c:v>4135.9985665651311</c:v>
                </c:pt>
              </c:numCache>
            </c:numRef>
          </c:val>
          <c:smooth val="0"/>
          <c:extLst>
            <c:ext xmlns:c16="http://schemas.microsoft.com/office/drawing/2014/chart" uri="{C3380CC4-5D6E-409C-BE32-E72D297353CC}">
              <c16:uniqueId val="{00000003-FE50-482D-905D-7C3B099138E4}"/>
            </c:ext>
          </c:extLst>
        </c:ser>
        <c:ser>
          <c:idx val="9"/>
          <c:order val="4"/>
          <c:tx>
            <c:strRef>
              <c:f>Projections!$A$148</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Projections!$L$149:$AN$149</c15:sqref>
                  </c15:fullRef>
                </c:ext>
              </c:extLst>
              <c:f>Projections!$L$149:$AE$149</c:f>
              <c:numCache>
                <c:formatCode>#,##0</c:formatCode>
                <c:ptCount val="20"/>
                <c:pt idx="0">
                  <c:v>1.6215731947679626E-2</c:v>
                </c:pt>
                <c:pt idx="1">
                  <c:v>3.2431463895359253E-2</c:v>
                </c:pt>
                <c:pt idx="2">
                  <c:v>6.4862927790718505E-2</c:v>
                </c:pt>
                <c:pt idx="3">
                  <c:v>0.12972585558143701</c:v>
                </c:pt>
                <c:pt idx="4">
                  <c:v>0.25945171116287402</c:v>
                </c:pt>
                <c:pt idx="5">
                  <c:v>0.51890342232574804</c:v>
                </c:pt>
                <c:pt idx="6">
                  <c:v>1.0378068446514961</c:v>
                </c:pt>
                <c:pt idx="7">
                  <c:v>2.0756136893029922</c:v>
                </c:pt>
                <c:pt idx="8">
                  <c:v>4.1512273786059843</c:v>
                </c:pt>
                <c:pt idx="9">
                  <c:v>8.3024547572119687</c:v>
                </c:pt>
                <c:pt idx="10">
                  <c:v>16.604909514423937</c:v>
                </c:pt>
                <c:pt idx="11">
                  <c:v>33.209819028847875</c:v>
                </c:pt>
                <c:pt idx="12">
                  <c:v>66.419638057695749</c:v>
                </c:pt>
                <c:pt idx="13">
                  <c:v>132.8392761153915</c:v>
                </c:pt>
                <c:pt idx="14">
                  <c:v>265.678552230783</c:v>
                </c:pt>
                <c:pt idx="15">
                  <c:v>398.5178283461745</c:v>
                </c:pt>
                <c:pt idx="16">
                  <c:v>464.93746640387025</c:v>
                </c:pt>
                <c:pt idx="17">
                  <c:v>499.47567819387206</c:v>
                </c:pt>
                <c:pt idx="18">
                  <c:v>531.357104461566</c:v>
                </c:pt>
                <c:pt idx="19">
                  <c:v>1062.714208923132</c:v>
                </c:pt>
              </c:numCache>
            </c:numRef>
          </c:val>
          <c:smooth val="0"/>
          <c:extLst>
            <c:ext xmlns:c16="http://schemas.microsoft.com/office/drawing/2014/chart" uri="{C3380CC4-5D6E-409C-BE32-E72D297353CC}">
              <c16:uniqueId val="{00000004-FE50-482D-905D-7C3B099138E4}"/>
            </c:ext>
          </c:extLst>
        </c:ser>
        <c:ser>
          <c:idx val="11"/>
          <c:order val="5"/>
          <c:tx>
            <c:strRef>
              <c:f>Projections!$A$150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Projections!$L$151:$AN$151</c15:sqref>
                  </c15:fullRef>
                </c:ext>
              </c:extLst>
              <c:f>Projections!$L$151:$AE$151</c:f>
              <c:numCache>
                <c:formatCode>#,##0</c:formatCode>
                <c:ptCount val="20"/>
                <c:pt idx="0">
                  <c:v>9.8324672997670663E-3</c:v>
                </c:pt>
                <c:pt idx="1">
                  <c:v>1.9664934599534133E-2</c:v>
                </c:pt>
                <c:pt idx="2">
                  <c:v>3.9329869199068265E-2</c:v>
                </c:pt>
                <c:pt idx="3">
                  <c:v>7.8659738398136531E-2</c:v>
                </c:pt>
                <c:pt idx="4">
                  <c:v>0.15731947679627306</c:v>
                </c:pt>
                <c:pt idx="5">
                  <c:v>0.31463895359254612</c:v>
                </c:pt>
                <c:pt idx="6">
                  <c:v>0.62927790718509224</c:v>
                </c:pt>
                <c:pt idx="7">
                  <c:v>1.2585558143701845</c:v>
                </c:pt>
                <c:pt idx="8">
                  <c:v>2.517111628740369</c:v>
                </c:pt>
                <c:pt idx="9">
                  <c:v>5.034223257480738</c:v>
                </c:pt>
                <c:pt idx="10">
                  <c:v>10.068446514961476</c:v>
                </c:pt>
                <c:pt idx="11">
                  <c:v>20.136893029922952</c:v>
                </c:pt>
                <c:pt idx="12">
                  <c:v>40.273786059845904</c:v>
                </c:pt>
                <c:pt idx="13">
                  <c:v>80.547572119691807</c:v>
                </c:pt>
                <c:pt idx="14">
                  <c:v>161.09514423938361</c:v>
                </c:pt>
                <c:pt idx="15">
                  <c:v>241.64271635907542</c:v>
                </c:pt>
                <c:pt idx="16">
                  <c:v>281.91650241892131</c:v>
                </c:pt>
                <c:pt idx="17">
                  <c:v>302.8588711700412</c:v>
                </c:pt>
                <c:pt idx="18">
                  <c:v>322.19028847876723</c:v>
                </c:pt>
                <c:pt idx="19">
                  <c:v>644.38057695753446</c:v>
                </c:pt>
              </c:numCache>
            </c:numRef>
          </c:val>
          <c:smooth val="0"/>
          <c:extLst>
            <c:ext xmlns:c16="http://schemas.microsoft.com/office/drawing/2014/chart" uri="{C3380CC4-5D6E-409C-BE32-E72D297353CC}">
              <c16:uniqueId val="{00000005-FE50-482D-905D-7C3B099138E4}"/>
            </c:ext>
          </c:extLst>
        </c:ser>
        <c:ser>
          <c:idx val="13"/>
          <c:order val="6"/>
          <c:tx>
            <c:strRef>
              <c:f>Projections!$A$152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Projections!$L$153:$AN$153</c15:sqref>
                  </c15:fullRef>
                </c:ext>
              </c:extLst>
              <c:f>Projections!$L$153:$AE$153</c:f>
              <c:numCache>
                <c:formatCode>#,##0</c:formatCode>
                <c:ptCount val="20"/>
                <c:pt idx="0">
                  <c:v>1.3505644149793944E-2</c:v>
                </c:pt>
                <c:pt idx="1">
                  <c:v>2.7011288299587887E-2</c:v>
                </c:pt>
                <c:pt idx="2">
                  <c:v>5.4022576599175774E-2</c:v>
                </c:pt>
                <c:pt idx="3">
                  <c:v>0.10804515319835155</c:v>
                </c:pt>
                <c:pt idx="4">
                  <c:v>0.2160903063967031</c:v>
                </c:pt>
                <c:pt idx="5">
                  <c:v>0.43218061279340619</c:v>
                </c:pt>
                <c:pt idx="6">
                  <c:v>0.86436122558681239</c:v>
                </c:pt>
                <c:pt idx="7">
                  <c:v>1.7287224511736248</c:v>
                </c:pt>
                <c:pt idx="8">
                  <c:v>3.4574449023472495</c:v>
                </c:pt>
                <c:pt idx="9">
                  <c:v>6.9148898046944991</c:v>
                </c:pt>
                <c:pt idx="10">
                  <c:v>13.829779609388998</c:v>
                </c:pt>
                <c:pt idx="11">
                  <c:v>27.659559218777996</c:v>
                </c:pt>
                <c:pt idx="12">
                  <c:v>55.319118437555993</c:v>
                </c:pt>
                <c:pt idx="13">
                  <c:v>110.63823687511199</c:v>
                </c:pt>
                <c:pt idx="14">
                  <c:v>221.27647375022397</c:v>
                </c:pt>
                <c:pt idx="15">
                  <c:v>331.914710625336</c:v>
                </c:pt>
                <c:pt idx="16">
                  <c:v>387.23382906289197</c:v>
                </c:pt>
                <c:pt idx="17">
                  <c:v>415.99977065042111</c:v>
                </c:pt>
                <c:pt idx="18">
                  <c:v>442.55294750044794</c:v>
                </c:pt>
                <c:pt idx="19">
                  <c:v>885.10589500089588</c:v>
                </c:pt>
              </c:numCache>
            </c:numRef>
          </c:val>
          <c:smooth val="0"/>
          <c:extLst>
            <c:ext xmlns:c16="http://schemas.microsoft.com/office/drawing/2014/chart" uri="{C3380CC4-5D6E-409C-BE32-E72D297353CC}">
              <c16:uniqueId val="{00000006-FE50-482D-905D-7C3B099138E4}"/>
            </c:ext>
          </c:extLst>
        </c:ser>
        <c:ser>
          <c:idx val="15"/>
          <c:order val="7"/>
          <c:tx>
            <c:strRef>
              <c:f>Projections!$A$154</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Projections!$L$155:$AN$155</c15:sqref>
                  </c15:fullRef>
                </c:ext>
              </c:extLst>
              <c:f>Projections!$L$155:$AE$155</c:f>
              <c:numCache>
                <c:formatCode>#,##0</c:formatCode>
                <c:ptCount val="20"/>
                <c:pt idx="0">
                  <c:v>1.8029922952875828E-3</c:v>
                </c:pt>
                <c:pt idx="1">
                  <c:v>3.6059845905751656E-3</c:v>
                </c:pt>
                <c:pt idx="2">
                  <c:v>7.2119691811503312E-3</c:v>
                </c:pt>
                <c:pt idx="3">
                  <c:v>1.4423938362300662E-2</c:v>
                </c:pt>
                <c:pt idx="4">
                  <c:v>2.8847876724601325E-2</c:v>
                </c:pt>
                <c:pt idx="5">
                  <c:v>5.769575344920265E-2</c:v>
                </c:pt>
                <c:pt idx="6">
                  <c:v>0.1153915068984053</c:v>
                </c:pt>
                <c:pt idx="7">
                  <c:v>0.2307830137968106</c:v>
                </c:pt>
                <c:pt idx="8">
                  <c:v>0.4615660275936212</c:v>
                </c:pt>
                <c:pt idx="9">
                  <c:v>0.9231320551872424</c:v>
                </c:pt>
                <c:pt idx="10">
                  <c:v>1.8462641103744848</c:v>
                </c:pt>
                <c:pt idx="11">
                  <c:v>3.6925282207489696</c:v>
                </c:pt>
                <c:pt idx="12">
                  <c:v>7.3850564414979392</c:v>
                </c:pt>
                <c:pt idx="13">
                  <c:v>14.770112882995878</c:v>
                </c:pt>
                <c:pt idx="14">
                  <c:v>29.540225765991757</c:v>
                </c:pt>
                <c:pt idx="15">
                  <c:v>44.310338648987639</c:v>
                </c:pt>
                <c:pt idx="16">
                  <c:v>51.695395090485576</c:v>
                </c:pt>
                <c:pt idx="17">
                  <c:v>55.535624440064502</c:v>
                </c:pt>
                <c:pt idx="18">
                  <c:v>59.080451531983513</c:v>
                </c:pt>
                <c:pt idx="19">
                  <c:v>118.16090306396703</c:v>
                </c:pt>
              </c:numCache>
            </c:numRef>
          </c:val>
          <c:smooth val="0"/>
          <c:extLst>
            <c:ext xmlns:c16="http://schemas.microsoft.com/office/drawing/2014/chart" uri="{C3380CC4-5D6E-409C-BE32-E72D297353CC}">
              <c16:uniqueId val="{00000007-FE50-482D-905D-7C3B099138E4}"/>
            </c:ext>
          </c:extLst>
        </c:ser>
        <c:ser>
          <c:idx val="17"/>
          <c:order val="8"/>
          <c:tx>
            <c:strRef>
              <c:f>Projections!$A$156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Projections!$L$157:$AN$157</c15:sqref>
                  </c15:fullRef>
                </c:ext>
              </c:extLst>
              <c:f>Projections!$L$157:$AE$157</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Projections!$A$169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Projections!$L$169:$AN$169</c15:sqref>
                  </c15:fullRef>
                </c:ext>
              </c:extLst>
              <c:f>Projections!$L$169:$AE$169</c:f>
              <c:numCache>
                <c:formatCode>#,##0</c:formatCode>
                <c:ptCount val="20"/>
                <c:pt idx="0">
                  <c:v>14.375</c:v>
                </c:pt>
                <c:pt idx="1">
                  <c:v>28.75</c:v>
                </c:pt>
                <c:pt idx="2">
                  <c:v>57.5</c:v>
                </c:pt>
                <c:pt idx="3">
                  <c:v>115</c:v>
                </c:pt>
                <c:pt idx="4">
                  <c:v>230</c:v>
                </c:pt>
                <c:pt idx="5">
                  <c:v>460</c:v>
                </c:pt>
                <c:pt idx="6">
                  <c:v>920</c:v>
                </c:pt>
                <c:pt idx="7">
                  <c:v>1840</c:v>
                </c:pt>
                <c:pt idx="8">
                  <c:v>3680</c:v>
                </c:pt>
                <c:pt idx="9">
                  <c:v>7360</c:v>
                </c:pt>
                <c:pt idx="10">
                  <c:v>14720</c:v>
                </c:pt>
                <c:pt idx="11">
                  <c:v>29440</c:v>
                </c:pt>
                <c:pt idx="12">
                  <c:v>58880</c:v>
                </c:pt>
                <c:pt idx="13">
                  <c:v>117760</c:v>
                </c:pt>
                <c:pt idx="14">
                  <c:v>235520</c:v>
                </c:pt>
                <c:pt idx="15">
                  <c:v>353280</c:v>
                </c:pt>
                <c:pt idx="16">
                  <c:v>412160</c:v>
                </c:pt>
                <c:pt idx="17">
                  <c:v>442777.60000000003</c:v>
                </c:pt>
                <c:pt idx="18">
                  <c:v>471040</c:v>
                </c:pt>
                <c:pt idx="19">
                  <c:v>942080</c:v>
                </c:pt>
              </c:numCache>
            </c:numRef>
          </c:val>
          <c:smooth val="0"/>
          <c:extLst>
            <c:ext xmlns:c16="http://schemas.microsoft.com/office/drawing/2014/chart" uri="{C3380CC4-5D6E-409C-BE32-E72D297353CC}">
              <c16:uniqueId val="{00000000-C5BA-4495-93D4-AC4CA8674604}"/>
            </c:ext>
          </c:extLst>
        </c:ser>
        <c:ser>
          <c:idx val="4"/>
          <c:order val="1"/>
          <c:tx>
            <c:strRef>
              <c:f>Projections!$A$167</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Projections!$L$167:$AN$167</c15:sqref>
                  </c15:fullRef>
                </c:ext>
              </c:extLst>
              <c:f>Projections!$L$167:$AE$167</c:f>
              <c:numCache>
                <c:formatCode>#,##0</c:formatCode>
                <c:ptCount val="20"/>
                <c:pt idx="0">
                  <c:v>4.1875</c:v>
                </c:pt>
                <c:pt idx="1">
                  <c:v>8.375</c:v>
                </c:pt>
                <c:pt idx="2">
                  <c:v>16.75</c:v>
                </c:pt>
                <c:pt idx="3">
                  <c:v>33.5</c:v>
                </c:pt>
                <c:pt idx="4">
                  <c:v>67</c:v>
                </c:pt>
                <c:pt idx="5">
                  <c:v>134</c:v>
                </c:pt>
                <c:pt idx="6">
                  <c:v>268</c:v>
                </c:pt>
                <c:pt idx="7">
                  <c:v>536</c:v>
                </c:pt>
                <c:pt idx="8">
                  <c:v>1072</c:v>
                </c:pt>
                <c:pt idx="9">
                  <c:v>2144</c:v>
                </c:pt>
                <c:pt idx="10">
                  <c:v>4288</c:v>
                </c:pt>
                <c:pt idx="11">
                  <c:v>8576</c:v>
                </c:pt>
                <c:pt idx="12">
                  <c:v>17152</c:v>
                </c:pt>
                <c:pt idx="13">
                  <c:v>34304</c:v>
                </c:pt>
                <c:pt idx="14">
                  <c:v>68608</c:v>
                </c:pt>
                <c:pt idx="15">
                  <c:v>102912</c:v>
                </c:pt>
                <c:pt idx="16">
                  <c:v>120064</c:v>
                </c:pt>
                <c:pt idx="17">
                  <c:v>128983.04000000001</c:v>
                </c:pt>
                <c:pt idx="18">
                  <c:v>137216</c:v>
                </c:pt>
                <c:pt idx="19">
                  <c:v>274432</c:v>
                </c:pt>
              </c:numCache>
            </c:numRef>
          </c:val>
          <c:smooth val="0"/>
          <c:extLst>
            <c:ext xmlns:c16="http://schemas.microsoft.com/office/drawing/2014/chart" uri="{C3380CC4-5D6E-409C-BE32-E72D297353CC}">
              <c16:uniqueId val="{00000001-C5BA-4495-93D4-AC4CA8674604}"/>
            </c:ext>
          </c:extLst>
        </c:ser>
        <c:ser>
          <c:idx val="10"/>
          <c:order val="2"/>
          <c:tx>
            <c:strRef>
              <c:f>Projections!$A$173</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Projections!$L$173:$AN$173</c15:sqref>
                  </c15:fullRef>
                </c:ext>
              </c:extLst>
              <c:f>Projections!$L$173:$AE$173</c:f>
              <c:numCache>
                <c:formatCode>#,##0</c:formatCode>
                <c:ptCount val="20"/>
                <c:pt idx="0">
                  <c:v>4.84375</c:v>
                </c:pt>
                <c:pt idx="1">
                  <c:v>9.6875</c:v>
                </c:pt>
                <c:pt idx="2">
                  <c:v>19.375</c:v>
                </c:pt>
                <c:pt idx="3">
                  <c:v>38.75</c:v>
                </c:pt>
                <c:pt idx="4">
                  <c:v>77.5</c:v>
                </c:pt>
                <c:pt idx="5">
                  <c:v>155</c:v>
                </c:pt>
                <c:pt idx="6">
                  <c:v>310</c:v>
                </c:pt>
                <c:pt idx="7">
                  <c:v>620</c:v>
                </c:pt>
                <c:pt idx="8">
                  <c:v>1240</c:v>
                </c:pt>
                <c:pt idx="9">
                  <c:v>2480</c:v>
                </c:pt>
                <c:pt idx="10">
                  <c:v>4960</c:v>
                </c:pt>
                <c:pt idx="11">
                  <c:v>9920</c:v>
                </c:pt>
                <c:pt idx="12">
                  <c:v>19840</c:v>
                </c:pt>
                <c:pt idx="13">
                  <c:v>39680</c:v>
                </c:pt>
                <c:pt idx="14">
                  <c:v>79360</c:v>
                </c:pt>
                <c:pt idx="15">
                  <c:v>119040</c:v>
                </c:pt>
                <c:pt idx="16">
                  <c:v>138880</c:v>
                </c:pt>
                <c:pt idx="17">
                  <c:v>149196.79999999999</c:v>
                </c:pt>
                <c:pt idx="18">
                  <c:v>158720</c:v>
                </c:pt>
                <c:pt idx="19">
                  <c:v>317440</c:v>
                </c:pt>
              </c:numCache>
            </c:numRef>
          </c:val>
          <c:smooth val="0"/>
          <c:extLst>
            <c:ext xmlns:c16="http://schemas.microsoft.com/office/drawing/2014/chart" uri="{C3380CC4-5D6E-409C-BE32-E72D297353CC}">
              <c16:uniqueId val="{00000002-C5BA-4495-93D4-AC4CA8674604}"/>
            </c:ext>
          </c:extLst>
        </c:ser>
        <c:ser>
          <c:idx val="0"/>
          <c:order val="3"/>
          <c:tx>
            <c:strRef>
              <c:f>Projections!$A$163</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Projections!$L$163:$AN$163</c15:sqref>
                  </c15:fullRef>
                </c:ext>
              </c:extLst>
              <c:f>Projections!$L$163:$AE$163</c:f>
              <c:numCache>
                <c:formatCode>#,##0</c:formatCode>
                <c:ptCount val="20"/>
                <c:pt idx="0">
                  <c:v>11.5</c:v>
                </c:pt>
                <c:pt idx="1">
                  <c:v>23</c:v>
                </c:pt>
                <c:pt idx="2">
                  <c:v>46</c:v>
                </c:pt>
                <c:pt idx="3">
                  <c:v>92</c:v>
                </c:pt>
                <c:pt idx="4">
                  <c:v>184</c:v>
                </c:pt>
                <c:pt idx="5">
                  <c:v>368</c:v>
                </c:pt>
                <c:pt idx="6">
                  <c:v>736</c:v>
                </c:pt>
                <c:pt idx="7">
                  <c:v>1472</c:v>
                </c:pt>
                <c:pt idx="8">
                  <c:v>2944</c:v>
                </c:pt>
                <c:pt idx="9">
                  <c:v>5888</c:v>
                </c:pt>
                <c:pt idx="10">
                  <c:v>11776</c:v>
                </c:pt>
                <c:pt idx="11">
                  <c:v>23552</c:v>
                </c:pt>
                <c:pt idx="12">
                  <c:v>47104</c:v>
                </c:pt>
                <c:pt idx="13">
                  <c:v>94208</c:v>
                </c:pt>
                <c:pt idx="14">
                  <c:v>188416</c:v>
                </c:pt>
                <c:pt idx="15">
                  <c:v>282624</c:v>
                </c:pt>
                <c:pt idx="16">
                  <c:v>329728</c:v>
                </c:pt>
                <c:pt idx="17">
                  <c:v>354222.08000000002</c:v>
                </c:pt>
                <c:pt idx="18">
                  <c:v>376832</c:v>
                </c:pt>
                <c:pt idx="19">
                  <c:v>753664</c:v>
                </c:pt>
              </c:numCache>
            </c:numRef>
          </c:val>
          <c:smooth val="0"/>
          <c:extLst>
            <c:ext xmlns:c16="http://schemas.microsoft.com/office/drawing/2014/chart" uri="{C3380CC4-5D6E-409C-BE32-E72D297353CC}">
              <c16:uniqueId val="{00000003-C5BA-4495-93D4-AC4CA8674604}"/>
            </c:ext>
          </c:extLst>
        </c:ser>
        <c:ser>
          <c:idx val="2"/>
          <c:order val="4"/>
          <c:tx>
            <c:strRef>
              <c:f>Projections!$A$165</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Projections!$L$165:$AN$165</c15:sqref>
                  </c15:fullRef>
                </c:ext>
              </c:extLst>
              <c:f>Projections!$L$165:$AE$165</c:f>
              <c:numCache>
                <c:formatCode>#,##0</c:formatCode>
                <c:ptCount val="20"/>
                <c:pt idx="0">
                  <c:v>3.0625</c:v>
                </c:pt>
                <c:pt idx="1">
                  <c:v>6.125</c:v>
                </c:pt>
                <c:pt idx="2">
                  <c:v>12.25</c:v>
                </c:pt>
                <c:pt idx="3">
                  <c:v>24.5</c:v>
                </c:pt>
                <c:pt idx="4">
                  <c:v>49</c:v>
                </c:pt>
                <c:pt idx="5">
                  <c:v>98</c:v>
                </c:pt>
                <c:pt idx="6">
                  <c:v>196</c:v>
                </c:pt>
                <c:pt idx="7">
                  <c:v>392</c:v>
                </c:pt>
                <c:pt idx="8">
                  <c:v>784</c:v>
                </c:pt>
                <c:pt idx="9">
                  <c:v>1568</c:v>
                </c:pt>
                <c:pt idx="10">
                  <c:v>3136</c:v>
                </c:pt>
                <c:pt idx="11">
                  <c:v>6272</c:v>
                </c:pt>
                <c:pt idx="12">
                  <c:v>12544</c:v>
                </c:pt>
                <c:pt idx="13">
                  <c:v>25088</c:v>
                </c:pt>
                <c:pt idx="14">
                  <c:v>50176</c:v>
                </c:pt>
                <c:pt idx="15">
                  <c:v>75264</c:v>
                </c:pt>
                <c:pt idx="16">
                  <c:v>87808</c:v>
                </c:pt>
                <c:pt idx="17">
                  <c:v>94330.880000000005</c:v>
                </c:pt>
                <c:pt idx="18">
                  <c:v>100352</c:v>
                </c:pt>
                <c:pt idx="19">
                  <c:v>200704</c:v>
                </c:pt>
              </c:numCache>
            </c:numRef>
          </c:val>
          <c:smooth val="0"/>
          <c:extLst>
            <c:ext xmlns:c16="http://schemas.microsoft.com/office/drawing/2014/chart" uri="{C3380CC4-5D6E-409C-BE32-E72D297353CC}">
              <c16:uniqueId val="{00000004-C5BA-4495-93D4-AC4CA8674604}"/>
            </c:ext>
          </c:extLst>
        </c:ser>
        <c:ser>
          <c:idx val="8"/>
          <c:order val="5"/>
          <c:tx>
            <c:strRef>
              <c:f>Projections!$A$171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Projections!$L$171:$AN$171</c15:sqref>
                  </c15:fullRef>
                </c:ext>
              </c:extLst>
              <c:f>Projections!$L$171:$AE$171</c:f>
              <c:numCache>
                <c:formatCode>#,##0</c:formatCode>
                <c:ptCount val="20"/>
                <c:pt idx="0">
                  <c:v>0.13718749999999999</c:v>
                </c:pt>
                <c:pt idx="1">
                  <c:v>0.27437499999999998</c:v>
                </c:pt>
                <c:pt idx="2">
                  <c:v>0.54874999999999996</c:v>
                </c:pt>
                <c:pt idx="3">
                  <c:v>1.0974999999999999</c:v>
                </c:pt>
                <c:pt idx="4">
                  <c:v>2.1949999999999998</c:v>
                </c:pt>
                <c:pt idx="5">
                  <c:v>4.3899999999999997</c:v>
                </c:pt>
                <c:pt idx="6">
                  <c:v>8.7799999999999994</c:v>
                </c:pt>
                <c:pt idx="7">
                  <c:v>17.559999999999999</c:v>
                </c:pt>
                <c:pt idx="8">
                  <c:v>35.119999999999997</c:v>
                </c:pt>
                <c:pt idx="9">
                  <c:v>70.239999999999995</c:v>
                </c:pt>
                <c:pt idx="10">
                  <c:v>140.47999999999999</c:v>
                </c:pt>
                <c:pt idx="11">
                  <c:v>280.95999999999998</c:v>
                </c:pt>
                <c:pt idx="12">
                  <c:v>561.91999999999996</c:v>
                </c:pt>
                <c:pt idx="13">
                  <c:v>1123.8399999999999</c:v>
                </c:pt>
                <c:pt idx="14">
                  <c:v>2247.6799999999998</c:v>
                </c:pt>
                <c:pt idx="15">
                  <c:v>3371.52</c:v>
                </c:pt>
                <c:pt idx="16">
                  <c:v>3933.4399999999996</c:v>
                </c:pt>
                <c:pt idx="17">
                  <c:v>4225.6383999999998</c:v>
                </c:pt>
                <c:pt idx="18">
                  <c:v>4495.3599999999997</c:v>
                </c:pt>
                <c:pt idx="19">
                  <c:v>8990.7199999999993</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Projections!$A$169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Projections!$L$170:$AN$170</c15:sqref>
                  </c15:fullRef>
                </c:ext>
              </c:extLst>
              <c:f>Projections!$L$170:$AE$170</c:f>
              <c:numCache>
                <c:formatCode>#,##0</c:formatCode>
                <c:ptCount val="20"/>
                <c:pt idx="0">
                  <c:v>0.86249999999999993</c:v>
                </c:pt>
                <c:pt idx="1">
                  <c:v>1.7249999999999999</c:v>
                </c:pt>
                <c:pt idx="2">
                  <c:v>3.4499999999999997</c:v>
                </c:pt>
                <c:pt idx="3">
                  <c:v>6.8999999999999995</c:v>
                </c:pt>
                <c:pt idx="4">
                  <c:v>13.799999999999999</c:v>
                </c:pt>
                <c:pt idx="5">
                  <c:v>27.599999999999998</c:v>
                </c:pt>
                <c:pt idx="6">
                  <c:v>55.199999999999996</c:v>
                </c:pt>
                <c:pt idx="7">
                  <c:v>110.39999999999999</c:v>
                </c:pt>
                <c:pt idx="8">
                  <c:v>220.79999999999998</c:v>
                </c:pt>
                <c:pt idx="9">
                  <c:v>441.59999999999997</c:v>
                </c:pt>
                <c:pt idx="10">
                  <c:v>883.19999999999993</c:v>
                </c:pt>
                <c:pt idx="11">
                  <c:v>1766.3999999999999</c:v>
                </c:pt>
                <c:pt idx="12">
                  <c:v>3532.7999999999997</c:v>
                </c:pt>
                <c:pt idx="13">
                  <c:v>7065.5999999999995</c:v>
                </c:pt>
                <c:pt idx="14">
                  <c:v>14131.199999999999</c:v>
                </c:pt>
                <c:pt idx="15">
                  <c:v>21196.799999999999</c:v>
                </c:pt>
                <c:pt idx="16">
                  <c:v>24729.599999999999</c:v>
                </c:pt>
                <c:pt idx="17">
                  <c:v>26566.656000000003</c:v>
                </c:pt>
                <c:pt idx="18">
                  <c:v>28262.399999999998</c:v>
                </c:pt>
                <c:pt idx="19">
                  <c:v>56524.799999999996</c:v>
                </c:pt>
              </c:numCache>
            </c:numRef>
          </c:val>
          <c:smooth val="0"/>
          <c:extLst>
            <c:ext xmlns:c16="http://schemas.microsoft.com/office/drawing/2014/chart" uri="{C3380CC4-5D6E-409C-BE32-E72D297353CC}">
              <c16:uniqueId val="{00000000-5E66-4AF0-A3CA-7CF12153AA8E}"/>
            </c:ext>
          </c:extLst>
        </c:ser>
        <c:ser>
          <c:idx val="5"/>
          <c:order val="1"/>
          <c:tx>
            <c:strRef>
              <c:f>Projections!$A$167</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Projections!$L$168:$AN$168</c15:sqref>
                  </c15:fullRef>
                </c:ext>
              </c:extLst>
              <c:f>Projections!$L$168:$AE$168</c:f>
              <c:numCache>
                <c:formatCode>#,##0</c:formatCode>
                <c:ptCount val="20"/>
                <c:pt idx="0">
                  <c:v>0.26381250000000001</c:v>
                </c:pt>
                <c:pt idx="1">
                  <c:v>0.52762500000000001</c:v>
                </c:pt>
                <c:pt idx="2">
                  <c:v>1.05525</c:v>
                </c:pt>
                <c:pt idx="3">
                  <c:v>2.1105</c:v>
                </c:pt>
                <c:pt idx="4">
                  <c:v>4.2210000000000001</c:v>
                </c:pt>
                <c:pt idx="5">
                  <c:v>8.4420000000000002</c:v>
                </c:pt>
                <c:pt idx="6">
                  <c:v>16.884</c:v>
                </c:pt>
                <c:pt idx="7">
                  <c:v>33.768000000000001</c:v>
                </c:pt>
                <c:pt idx="8">
                  <c:v>67.536000000000001</c:v>
                </c:pt>
                <c:pt idx="9">
                  <c:v>135.072</c:v>
                </c:pt>
                <c:pt idx="10">
                  <c:v>270.14400000000001</c:v>
                </c:pt>
                <c:pt idx="11">
                  <c:v>540.28800000000001</c:v>
                </c:pt>
                <c:pt idx="12">
                  <c:v>1080.576</c:v>
                </c:pt>
                <c:pt idx="13">
                  <c:v>2161.152</c:v>
                </c:pt>
                <c:pt idx="14">
                  <c:v>4322.3040000000001</c:v>
                </c:pt>
                <c:pt idx="15">
                  <c:v>6483.4560000000001</c:v>
                </c:pt>
                <c:pt idx="16">
                  <c:v>7564.0320000000002</c:v>
                </c:pt>
                <c:pt idx="17">
                  <c:v>8125.931520000001</c:v>
                </c:pt>
                <c:pt idx="18">
                  <c:v>8644.6080000000002</c:v>
                </c:pt>
                <c:pt idx="19">
                  <c:v>17289.216</c:v>
                </c:pt>
              </c:numCache>
            </c:numRef>
          </c:val>
          <c:smooth val="0"/>
          <c:extLst>
            <c:ext xmlns:c16="http://schemas.microsoft.com/office/drawing/2014/chart" uri="{C3380CC4-5D6E-409C-BE32-E72D297353CC}">
              <c16:uniqueId val="{00000001-5E66-4AF0-A3CA-7CF12153AA8E}"/>
            </c:ext>
          </c:extLst>
        </c:ser>
        <c:ser>
          <c:idx val="1"/>
          <c:order val="2"/>
          <c:tx>
            <c:strRef>
              <c:f>Projections!$A$163</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Projections!$L$164:$AN$164</c15:sqref>
                  </c15:fullRef>
                </c:ext>
              </c:extLst>
              <c:f>Projections!$L$164:$AE$164</c:f>
              <c:numCache>
                <c:formatCode>#,##0</c:formatCode>
                <c:ptCount val="20"/>
                <c:pt idx="0">
                  <c:v>1.2075</c:v>
                </c:pt>
                <c:pt idx="1">
                  <c:v>2.415</c:v>
                </c:pt>
                <c:pt idx="2">
                  <c:v>4.83</c:v>
                </c:pt>
                <c:pt idx="3">
                  <c:v>9.66</c:v>
                </c:pt>
                <c:pt idx="4">
                  <c:v>19.32</c:v>
                </c:pt>
                <c:pt idx="5">
                  <c:v>38.64</c:v>
                </c:pt>
                <c:pt idx="6">
                  <c:v>77.28</c:v>
                </c:pt>
                <c:pt idx="7">
                  <c:v>154.56</c:v>
                </c:pt>
                <c:pt idx="8">
                  <c:v>309.12</c:v>
                </c:pt>
                <c:pt idx="9">
                  <c:v>618.24</c:v>
                </c:pt>
                <c:pt idx="10">
                  <c:v>1236.48</c:v>
                </c:pt>
                <c:pt idx="11">
                  <c:v>2472.96</c:v>
                </c:pt>
                <c:pt idx="12">
                  <c:v>4945.92</c:v>
                </c:pt>
                <c:pt idx="13">
                  <c:v>9891.84</c:v>
                </c:pt>
                <c:pt idx="14">
                  <c:v>19783.68</c:v>
                </c:pt>
                <c:pt idx="15">
                  <c:v>29675.52</c:v>
                </c:pt>
                <c:pt idx="16">
                  <c:v>34621.440000000002</c:v>
                </c:pt>
                <c:pt idx="17">
                  <c:v>37193.318400000004</c:v>
                </c:pt>
                <c:pt idx="18">
                  <c:v>39567.360000000001</c:v>
                </c:pt>
                <c:pt idx="19">
                  <c:v>79134.720000000001</c:v>
                </c:pt>
              </c:numCache>
            </c:numRef>
          </c:val>
          <c:smooth val="0"/>
          <c:extLst>
            <c:ext xmlns:c16="http://schemas.microsoft.com/office/drawing/2014/chart" uri="{C3380CC4-5D6E-409C-BE32-E72D297353CC}">
              <c16:uniqueId val="{00000002-5E66-4AF0-A3CA-7CF12153AA8E}"/>
            </c:ext>
          </c:extLst>
        </c:ser>
        <c:ser>
          <c:idx val="3"/>
          <c:order val="3"/>
          <c:tx>
            <c:strRef>
              <c:f>Projections!$A$165</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Projections!$L$166:$AN$166</c15:sqref>
                  </c15:fullRef>
                </c:ext>
              </c:extLst>
              <c:f>Projections!$L$166:$AE$166</c:f>
              <c:numCache>
                <c:formatCode>#,##0</c:formatCode>
                <c:ptCount val="20"/>
                <c:pt idx="0">
                  <c:v>0.2235625</c:v>
                </c:pt>
                <c:pt idx="1">
                  <c:v>0.44712499999999999</c:v>
                </c:pt>
                <c:pt idx="2">
                  <c:v>0.89424999999999999</c:v>
                </c:pt>
                <c:pt idx="3">
                  <c:v>1.7885</c:v>
                </c:pt>
                <c:pt idx="4">
                  <c:v>3.577</c:v>
                </c:pt>
                <c:pt idx="5">
                  <c:v>7.1539999999999999</c:v>
                </c:pt>
                <c:pt idx="6">
                  <c:v>14.308</c:v>
                </c:pt>
                <c:pt idx="7">
                  <c:v>28.616</c:v>
                </c:pt>
                <c:pt idx="8">
                  <c:v>57.231999999999999</c:v>
                </c:pt>
                <c:pt idx="9">
                  <c:v>114.464</c:v>
                </c:pt>
                <c:pt idx="10">
                  <c:v>228.928</c:v>
                </c:pt>
                <c:pt idx="11">
                  <c:v>457.85599999999999</c:v>
                </c:pt>
                <c:pt idx="12">
                  <c:v>915.71199999999999</c:v>
                </c:pt>
                <c:pt idx="13">
                  <c:v>1831.424</c:v>
                </c:pt>
                <c:pt idx="14">
                  <c:v>3662.848</c:v>
                </c:pt>
                <c:pt idx="15">
                  <c:v>5494.2719999999999</c:v>
                </c:pt>
                <c:pt idx="16">
                  <c:v>6409.9839999999995</c:v>
                </c:pt>
                <c:pt idx="17">
                  <c:v>6886.1542399999998</c:v>
                </c:pt>
                <c:pt idx="18">
                  <c:v>7325.6959999999999</c:v>
                </c:pt>
                <c:pt idx="19">
                  <c:v>14651.392</c:v>
                </c:pt>
              </c:numCache>
            </c:numRef>
          </c:val>
          <c:smooth val="0"/>
          <c:extLst>
            <c:ext xmlns:c16="http://schemas.microsoft.com/office/drawing/2014/chart" uri="{C3380CC4-5D6E-409C-BE32-E72D297353CC}">
              <c16:uniqueId val="{00000003-5E66-4AF0-A3CA-7CF12153AA8E}"/>
            </c:ext>
          </c:extLst>
        </c:ser>
        <c:ser>
          <c:idx val="9"/>
          <c:order val="4"/>
          <c:tx>
            <c:strRef>
              <c:f>Projections!$A$171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Projections!$L$172:$AN$172</c15:sqref>
                  </c15:fullRef>
                </c:ext>
              </c:extLst>
              <c:f>Projections!$L$172:$AE$172</c:f>
              <c:numCache>
                <c:formatCode>#,##0</c:formatCode>
                <c:ptCount val="20"/>
                <c:pt idx="0">
                  <c:v>7.6824999999999992E-3</c:v>
                </c:pt>
                <c:pt idx="1">
                  <c:v>1.5364999999999998E-2</c:v>
                </c:pt>
                <c:pt idx="2">
                  <c:v>3.0729999999999997E-2</c:v>
                </c:pt>
                <c:pt idx="3">
                  <c:v>6.1459999999999994E-2</c:v>
                </c:pt>
                <c:pt idx="4">
                  <c:v>0.12291999999999999</c:v>
                </c:pt>
                <c:pt idx="5">
                  <c:v>0.24583999999999998</c:v>
                </c:pt>
                <c:pt idx="6">
                  <c:v>0.49167999999999995</c:v>
                </c:pt>
                <c:pt idx="7">
                  <c:v>0.9833599999999999</c:v>
                </c:pt>
                <c:pt idx="8">
                  <c:v>1.9667199999999998</c:v>
                </c:pt>
                <c:pt idx="9">
                  <c:v>3.9334399999999996</c:v>
                </c:pt>
                <c:pt idx="10">
                  <c:v>7.8668799999999992</c:v>
                </c:pt>
                <c:pt idx="11">
                  <c:v>15.733759999999998</c:v>
                </c:pt>
                <c:pt idx="12">
                  <c:v>31.467519999999997</c:v>
                </c:pt>
                <c:pt idx="13">
                  <c:v>62.935039999999994</c:v>
                </c:pt>
                <c:pt idx="14">
                  <c:v>125.87007999999999</c:v>
                </c:pt>
                <c:pt idx="15">
                  <c:v>188.80512000000002</c:v>
                </c:pt>
                <c:pt idx="16">
                  <c:v>220.27264</c:v>
                </c:pt>
                <c:pt idx="17">
                  <c:v>236.63575040000001</c:v>
                </c:pt>
                <c:pt idx="18">
                  <c:v>251.74015999999997</c:v>
                </c:pt>
                <c:pt idx="19">
                  <c:v>503.48031999999995</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Projections!$A$108</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Projections!$L$107:$AN$107</c15:sqref>
                  </c15:fullRef>
                </c:ext>
              </c:extLst>
              <c:f>Projections!$L$107:$AD$107</c:f>
              <c:numCache>
                <c:formatCode>m/d/yyyy</c:formatCode>
                <c:ptCount val="1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numCache>
            </c:numRef>
          </c:cat>
          <c:val>
            <c:numRef>
              <c:extLst>
                <c:ext xmlns:c15="http://schemas.microsoft.com/office/drawing/2012/chart" uri="{02D57815-91ED-43cb-92C2-25804820EDAC}">
                  <c15:fullRef>
                    <c15:sqref>Projections!$L$108:$AN$108</c15:sqref>
                  </c15:fullRef>
                </c:ext>
              </c:extLst>
              <c:f>Projections!$L$108:$AD$108</c:f>
              <c:numCache>
                <c:formatCode>#,##0_ ;[Red]\-#,##0\ </c:formatCode>
                <c:ptCount val="19"/>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768000</c:v>
                </c:pt>
                <c:pt idx="16">
                  <c:v>896000</c:v>
                </c:pt>
                <c:pt idx="17">
                  <c:v>962560</c:v>
                </c:pt>
                <c:pt idx="18">
                  <c:v>1024000</c:v>
                </c:pt>
              </c:numCache>
            </c:numRef>
          </c:val>
          <c:smooth val="0"/>
          <c:extLst>
            <c:ext xmlns:c16="http://schemas.microsoft.com/office/drawing/2014/chart" uri="{C3380CC4-5D6E-409C-BE32-E72D297353CC}">
              <c16:uniqueId val="{00000000-9DE3-43B6-B60B-9B4AA4851702}"/>
            </c:ext>
          </c:extLst>
        </c:ser>
        <c:ser>
          <c:idx val="1"/>
          <c:order val="1"/>
          <c:tx>
            <c:strRef>
              <c:f>Projections!$A$132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Projections!$L$107:$AN$107</c15:sqref>
                  </c15:fullRef>
                </c:ext>
              </c:extLst>
              <c:f>Projections!$L$107:$AD$107</c:f>
              <c:numCache>
                <c:formatCode>m/d/yyyy</c:formatCode>
                <c:ptCount val="1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numCache>
            </c:numRef>
          </c:cat>
          <c:val>
            <c:numRef>
              <c:extLst>
                <c:ext xmlns:c15="http://schemas.microsoft.com/office/drawing/2012/chart" uri="{02D57815-91ED-43cb-92C2-25804820EDAC}">
                  <c15:fullRef>
                    <c15:sqref>Projections!$L$132:$AN$132</c15:sqref>
                  </c15:fullRef>
                </c:ext>
              </c:extLst>
              <c:f>Projections!$L$132:$AD$132</c:f>
              <c:numCache>
                <c:formatCode>General</c:formatCode>
                <c:ptCount val="19"/>
                <c:pt idx="0">
                  <c:v>35</c:v>
                </c:pt>
                <c:pt idx="1">
                  <c:v>68</c:v>
                </c:pt>
                <c:pt idx="2" formatCode="#,##0">
                  <c:v>124</c:v>
                </c:pt>
                <c:pt idx="3" formatCode="#,##0">
                  <c:v>221</c:v>
                </c:pt>
                <c:pt idx="4" formatCode="#,##0">
                  <c:v>541</c:v>
                </c:pt>
                <c:pt idx="5" formatCode="#,##0">
                  <c:v>1301</c:v>
                </c:pt>
                <c:pt idx="6" formatCode="#,##0">
                  <c:v>2770</c:v>
                </c:pt>
                <c:pt idx="7" formatCode="#,##0">
                  <c:v>4596</c:v>
                </c:pt>
                <c:pt idx="8" formatCode="#,##0">
                  <c:v>9296</c:v>
                </c:pt>
                <c:pt idx="9" formatCode="#,##0">
                  <c:v>19497</c:v>
                </c:pt>
                <c:pt idx="10" formatCode="#,##0">
                  <c:v>33745</c:v>
                </c:pt>
                <c:pt idx="11" formatCode="#,##0">
                  <c:v>68673</c:v>
                </c:pt>
                <c:pt idx="12" formatCode="#,##0">
                  <c:v>124256</c:v>
                </c:pt>
                <c:pt idx="13" formatCode="#,##0">
                  <c:v>246729</c:v>
                </c:pt>
                <c:pt idx="14" formatCode="#,##0">
                  <c:v>532879</c:v>
                </c:pt>
                <c:pt idx="15" formatCode="#,##0">
                  <c:v>763832</c:v>
                </c:pt>
                <c:pt idx="16" formatCode="#,##0">
                  <c:v>896000</c:v>
                </c:pt>
                <c:pt idx="17" formatCode="#,##0">
                  <c:v>962560</c:v>
                </c:pt>
                <c:pt idx="18" formatCode="#,##0">
                  <c:v>1065758</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Projections!$A$122</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Projections!$L$107:$AN$107</c15:sqref>
                  </c15:fullRef>
                </c:ext>
              </c:extLst>
              <c:f>Projections!$L$107:$AD$107</c:f>
              <c:numCache>
                <c:formatCode>m/d/yyyy</c:formatCode>
                <c:ptCount val="1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numCache>
            </c:numRef>
          </c:cat>
          <c:val>
            <c:numRef>
              <c:extLst>
                <c:ext xmlns:c15="http://schemas.microsoft.com/office/drawing/2012/chart" uri="{02D57815-91ED-43cb-92C2-25804820EDAC}">
                  <c15:fullRef>
                    <c15:sqref>Projections!$L$122:$AN$122</c15:sqref>
                  </c15:fullRef>
                </c:ext>
              </c:extLst>
              <c:f>Projections!$L$122:$AD$122</c:f>
              <c:numCache>
                <c:formatCode>#,##0_ ;[Red]\-#,##0\ </c:formatCode>
                <c:ptCount val="19"/>
                <c:pt idx="0">
                  <c:v>1.65625</c:v>
                </c:pt>
                <c:pt idx="1">
                  <c:v>3.3125</c:v>
                </c:pt>
                <c:pt idx="2">
                  <c:v>6.625</c:v>
                </c:pt>
                <c:pt idx="3">
                  <c:v>13.25</c:v>
                </c:pt>
                <c:pt idx="4">
                  <c:v>26.5</c:v>
                </c:pt>
                <c:pt idx="5">
                  <c:v>53</c:v>
                </c:pt>
                <c:pt idx="6">
                  <c:v>106</c:v>
                </c:pt>
                <c:pt idx="7">
                  <c:v>212</c:v>
                </c:pt>
                <c:pt idx="8">
                  <c:v>424</c:v>
                </c:pt>
                <c:pt idx="9">
                  <c:v>848</c:v>
                </c:pt>
                <c:pt idx="10">
                  <c:v>1696</c:v>
                </c:pt>
                <c:pt idx="11">
                  <c:v>3392</c:v>
                </c:pt>
                <c:pt idx="12">
                  <c:v>6784</c:v>
                </c:pt>
                <c:pt idx="13">
                  <c:v>13568</c:v>
                </c:pt>
                <c:pt idx="14">
                  <c:v>27136</c:v>
                </c:pt>
                <c:pt idx="15">
                  <c:v>40704</c:v>
                </c:pt>
                <c:pt idx="16">
                  <c:v>47488</c:v>
                </c:pt>
                <c:pt idx="17">
                  <c:v>51015.68</c:v>
                </c:pt>
                <c:pt idx="18">
                  <c:v>54272</c:v>
                </c:pt>
              </c:numCache>
            </c:numRef>
          </c:val>
          <c:smooth val="0"/>
          <c:extLst>
            <c:ext xmlns:c16="http://schemas.microsoft.com/office/drawing/2014/chart" uri="{C3380CC4-5D6E-409C-BE32-E72D297353CC}">
              <c16:uniqueId val="{00000000-FE1B-4946-A476-7952C5C71231}"/>
            </c:ext>
          </c:extLst>
        </c:ser>
        <c:ser>
          <c:idx val="1"/>
          <c:order val="1"/>
          <c:tx>
            <c:strRef>
              <c:f>Projections!$A$136</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Projections!$L$107:$AN$107</c15:sqref>
                  </c15:fullRef>
                </c:ext>
              </c:extLst>
              <c:f>Projections!$L$107:$AD$107</c:f>
              <c:numCache>
                <c:formatCode>m/d/yyyy</c:formatCode>
                <c:ptCount val="1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numCache>
            </c:numRef>
          </c:cat>
          <c:val>
            <c:numRef>
              <c:extLst>
                <c:ext xmlns:c15="http://schemas.microsoft.com/office/drawing/2012/chart" uri="{02D57815-91ED-43cb-92C2-25804820EDAC}">
                  <c15:fullRef>
                    <c15:sqref>Projections!$L$136:$AN$136</c15:sqref>
                  </c15:fullRef>
                </c:ext>
              </c:extLst>
              <c:f>Projections!$L$136:$AD$136</c:f>
              <c:numCache>
                <c:formatCode>General</c:formatCode>
                <c:ptCount val="19"/>
                <c:pt idx="0">
                  <c:v>0</c:v>
                </c:pt>
                <c:pt idx="1">
                  <c:v>1</c:v>
                </c:pt>
                <c:pt idx="2" formatCode="#,##0">
                  <c:v>9</c:v>
                </c:pt>
                <c:pt idx="3" formatCode="#,##0">
                  <c:v>12</c:v>
                </c:pt>
                <c:pt idx="4" formatCode="#,##0">
                  <c:v>22</c:v>
                </c:pt>
                <c:pt idx="5" formatCode="#,##0">
                  <c:v>38</c:v>
                </c:pt>
                <c:pt idx="6" formatCode="#,##0">
                  <c:v>57</c:v>
                </c:pt>
                <c:pt idx="7" formatCode="#,##0">
                  <c:v>87</c:v>
                </c:pt>
                <c:pt idx="8" formatCode="#,##0">
                  <c:v>150</c:v>
                </c:pt>
                <c:pt idx="9" formatCode="#,##0">
                  <c:v>255</c:v>
                </c:pt>
                <c:pt idx="10" formatCode="#,##0">
                  <c:v>414</c:v>
                </c:pt>
                <c:pt idx="11" formatCode="#,##0">
                  <c:v>1028</c:v>
                </c:pt>
                <c:pt idx="12" formatCode="#,##0">
                  <c:v>2222</c:v>
                </c:pt>
                <c:pt idx="13" formatCode="#,##0">
                  <c:v>6088</c:v>
                </c:pt>
                <c:pt idx="14" formatCode="#,##0">
                  <c:v>20577</c:v>
                </c:pt>
                <c:pt idx="15" formatCode="#,##0">
                  <c:v>40553</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43901.624748379632</c:v>
                </c:pt>
                <c:pt idx="1">
                  <c:v>43904.624748379632</c:v>
                </c:pt>
                <c:pt idx="2">
                  <c:v>43907.624748379632</c:v>
                </c:pt>
                <c:pt idx="3">
                  <c:v>43910.624748379632</c:v>
                </c:pt>
                <c:pt idx="4">
                  <c:v>43913.624748379632</c:v>
                </c:pt>
                <c:pt idx="5">
                  <c:v>43916.624748379632</c:v>
                </c:pt>
                <c:pt idx="6">
                  <c:v>43919.624748379632</c:v>
                </c:pt>
                <c:pt idx="7">
                  <c:v>43922.624748379632</c:v>
                </c:pt>
                <c:pt idx="8">
                  <c:v>43925.624748379632</c:v>
                </c:pt>
                <c:pt idx="9">
                  <c:v>43928.624748379632</c:v>
                </c:pt>
                <c:pt idx="10">
                  <c:v>43931.624748379632</c:v>
                </c:pt>
                <c:pt idx="11">
                  <c:v>43934.624748379632</c:v>
                </c:pt>
                <c:pt idx="12">
                  <c:v>43937.624748379632</c:v>
                </c:pt>
                <c:pt idx="13">
                  <c:v>43940.624748379632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18.867924528301888</c:v>
                </c:pt>
                <c:pt idx="4">
                  <c:v>37.735849056603776</c:v>
                </c:pt>
                <c:pt idx="5">
                  <c:v>75.471698113207552</c:v>
                </c:pt>
                <c:pt idx="6">
                  <c:v>150.9433962264151</c:v>
                </c:pt>
                <c:pt idx="7">
                  <c:v>301.88679245283021</c:v>
                </c:pt>
                <c:pt idx="8">
                  <c:v>603.77358490566041</c:v>
                </c:pt>
                <c:pt idx="9">
                  <c:v>1207.5471698113208</c:v>
                </c:pt>
                <c:pt idx="10">
                  <c:v>2415.0943396226417</c:v>
                </c:pt>
                <c:pt idx="11">
                  <c:v>4830.1886792452833</c:v>
                </c:pt>
                <c:pt idx="12">
                  <c:v>9660.3773584905666</c:v>
                </c:pt>
                <c:pt idx="13">
                  <c:v>19320.754716981133</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43901.624748379632</c:v>
                </c:pt>
                <c:pt idx="1">
                  <c:v>43904.624748379632</c:v>
                </c:pt>
                <c:pt idx="2">
                  <c:v>43907.624748379632</c:v>
                </c:pt>
                <c:pt idx="3">
                  <c:v>43910.624748379632</c:v>
                </c:pt>
                <c:pt idx="4">
                  <c:v>43913.624748379632</c:v>
                </c:pt>
                <c:pt idx="5">
                  <c:v>43916.624748379632</c:v>
                </c:pt>
                <c:pt idx="6">
                  <c:v>43919.624748379632</c:v>
                </c:pt>
                <c:pt idx="7">
                  <c:v>43922.624748379632</c:v>
                </c:pt>
                <c:pt idx="8">
                  <c:v>43925.624748379632</c:v>
                </c:pt>
                <c:pt idx="9">
                  <c:v>43928.624748379632</c:v>
                </c:pt>
                <c:pt idx="10">
                  <c:v>43931.624748379632</c:v>
                </c:pt>
                <c:pt idx="11">
                  <c:v>43934.624748379632</c:v>
                </c:pt>
                <c:pt idx="12">
                  <c:v>43937.624748379632</c:v>
                </c:pt>
                <c:pt idx="13">
                  <c:v>43940.624748379632</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18.867924528301899</c:v>
                </c:pt>
                <c:pt idx="3">
                  <c:v>37.735849056603797</c:v>
                </c:pt>
                <c:pt idx="4">
                  <c:v>61.132075471698158</c:v>
                </c:pt>
                <c:pt idx="5">
                  <c:v>122.26415094339632</c:v>
                </c:pt>
                <c:pt idx="6">
                  <c:v>244.52830188679263</c:v>
                </c:pt>
                <c:pt idx="7">
                  <c:v>473.77358490566075</c:v>
                </c:pt>
                <c:pt idx="8">
                  <c:v>947.54716981132151</c:v>
                </c:pt>
                <c:pt idx="9">
                  <c:v>1895.094339622643</c:v>
                </c:pt>
                <c:pt idx="10">
                  <c:v>3790.188679245286</c:v>
                </c:pt>
                <c:pt idx="11">
                  <c:v>7580.3773584905721</c:v>
                </c:pt>
                <c:pt idx="12">
                  <c:v>15176.037735849068</c:v>
                </c:pt>
                <c:pt idx="13">
                  <c:v>30352.075471698136</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43901.624748379632</c:v>
                </c:pt>
                <c:pt idx="1">
                  <c:v>43904.624748379632</c:v>
                </c:pt>
                <c:pt idx="2">
                  <c:v>43907.624748379632</c:v>
                </c:pt>
                <c:pt idx="3">
                  <c:v>43910.624748379632</c:v>
                </c:pt>
                <c:pt idx="4">
                  <c:v>43913.624748379632</c:v>
                </c:pt>
                <c:pt idx="5">
                  <c:v>43916.624748379632</c:v>
                </c:pt>
                <c:pt idx="6">
                  <c:v>43919.624748379632</c:v>
                </c:pt>
                <c:pt idx="7">
                  <c:v>43922.624748379632</c:v>
                </c:pt>
                <c:pt idx="8">
                  <c:v>43925.624748379632</c:v>
                </c:pt>
                <c:pt idx="9">
                  <c:v>43928.624748379632</c:v>
                </c:pt>
                <c:pt idx="10">
                  <c:v>43931.624748379632</c:v>
                </c:pt>
                <c:pt idx="11">
                  <c:v>43934.624748379632</c:v>
                </c:pt>
                <c:pt idx="12">
                  <c:v>43937.624748379632</c:v>
                </c:pt>
                <c:pt idx="13">
                  <c:v>43940.624748379632</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14.339622641509443</c:v>
                </c:pt>
                <c:pt idx="5">
                  <c:v>28.679245283018886</c:v>
                </c:pt>
                <c:pt idx="6">
                  <c:v>42.26415094339626</c:v>
                </c:pt>
                <c:pt idx="7">
                  <c:v>84.528301886792519</c:v>
                </c:pt>
                <c:pt idx="8">
                  <c:v>169.05660377358504</c:v>
                </c:pt>
                <c:pt idx="9">
                  <c:v>338.11320754717008</c:v>
                </c:pt>
                <c:pt idx="10">
                  <c:v>676.22641509434015</c:v>
                </c:pt>
                <c:pt idx="11">
                  <c:v>1352.4528301886803</c:v>
                </c:pt>
                <c:pt idx="12">
                  <c:v>2704.9056603773606</c:v>
                </c:pt>
                <c:pt idx="13">
                  <c:v>5409.8113207547212</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43901.624748379632</c:v>
                </c:pt>
                <c:pt idx="1">
                  <c:v>43904.624748379632</c:v>
                </c:pt>
                <c:pt idx="2">
                  <c:v>43907.624748379632</c:v>
                </c:pt>
                <c:pt idx="3">
                  <c:v>43910.624748379632</c:v>
                </c:pt>
                <c:pt idx="4">
                  <c:v>43913.624748379632</c:v>
                </c:pt>
                <c:pt idx="5">
                  <c:v>43916.624748379632</c:v>
                </c:pt>
                <c:pt idx="6">
                  <c:v>43919.624748379632</c:v>
                </c:pt>
                <c:pt idx="7">
                  <c:v>43922.624748379632</c:v>
                </c:pt>
                <c:pt idx="8">
                  <c:v>43925.624748379632</c:v>
                </c:pt>
                <c:pt idx="9">
                  <c:v>43928.624748379632</c:v>
                </c:pt>
                <c:pt idx="10">
                  <c:v>43931.624748379632</c:v>
                </c:pt>
                <c:pt idx="11">
                  <c:v>43934.624748379632</c:v>
                </c:pt>
                <c:pt idx="12">
                  <c:v>43937.624748379632</c:v>
                </c:pt>
                <c:pt idx="13">
                  <c:v>43940.624748379632</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15.09433962264152</c:v>
                </c:pt>
                <c:pt idx="7">
                  <c:v>30.188679245283041</c:v>
                </c:pt>
                <c:pt idx="8">
                  <c:v>60.377358490566081</c:v>
                </c:pt>
                <c:pt idx="9">
                  <c:v>120.75471698113216</c:v>
                </c:pt>
                <c:pt idx="10">
                  <c:v>241.50943396226432</c:v>
                </c:pt>
                <c:pt idx="11">
                  <c:v>483.01886792452865</c:v>
                </c:pt>
                <c:pt idx="12">
                  <c:v>966.0377358490573</c:v>
                </c:pt>
                <c:pt idx="13">
                  <c:v>1932.0754716981146</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43901.624748379632</c:v>
                </c:pt>
                <c:pt idx="1">
                  <c:v>43904.624748379632</c:v>
                </c:pt>
                <c:pt idx="2">
                  <c:v>43907.624748379632</c:v>
                </c:pt>
                <c:pt idx="3">
                  <c:v>43910.624748379632</c:v>
                </c:pt>
                <c:pt idx="4">
                  <c:v>43913.624748379632</c:v>
                </c:pt>
                <c:pt idx="5">
                  <c:v>43916.624748379632</c:v>
                </c:pt>
                <c:pt idx="6">
                  <c:v>43919.624748379632</c:v>
                </c:pt>
                <c:pt idx="7">
                  <c:v>43922.624748379632</c:v>
                </c:pt>
                <c:pt idx="8">
                  <c:v>43925.624748379632</c:v>
                </c:pt>
                <c:pt idx="9">
                  <c:v>43928.624748379632</c:v>
                </c:pt>
                <c:pt idx="10">
                  <c:v>43931.624748379632</c:v>
                </c:pt>
                <c:pt idx="11">
                  <c:v>43934.624748379632</c:v>
                </c:pt>
                <c:pt idx="12">
                  <c:v>43937.624748379632</c:v>
                </c:pt>
                <c:pt idx="13">
                  <c:v>43940.624748379632</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157.23270440251574</c:v>
                </c:pt>
                <c:pt idx="1">
                  <c:v>314.46540880503147</c:v>
                </c:pt>
                <c:pt idx="2">
                  <c:v>628.93081761006295</c:v>
                </c:pt>
                <c:pt idx="3">
                  <c:v>1257.8616352201259</c:v>
                </c:pt>
                <c:pt idx="4">
                  <c:v>2515.7232704402518</c:v>
                </c:pt>
                <c:pt idx="5">
                  <c:v>5031.4465408805036</c:v>
                </c:pt>
                <c:pt idx="6">
                  <c:v>10062.893081761007</c:v>
                </c:pt>
                <c:pt idx="7">
                  <c:v>20125.786163522014</c:v>
                </c:pt>
                <c:pt idx="8">
                  <c:v>40251.572327044028</c:v>
                </c:pt>
                <c:pt idx="9">
                  <c:v>80503.144654088057</c:v>
                </c:pt>
                <c:pt idx="10">
                  <c:v>161006.28930817611</c:v>
                </c:pt>
                <c:pt idx="11">
                  <c:v>322012.57861635223</c:v>
                </c:pt>
                <c:pt idx="12">
                  <c:v>644025.15723270446</c:v>
                </c:pt>
                <c:pt idx="13">
                  <c:v>1288050.3144654089</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43901.624748379632</c:v>
                </c:pt>
                <c:pt idx="1">
                  <c:v>43904.624748379632</c:v>
                </c:pt>
                <c:pt idx="2">
                  <c:v>43907.624748379632</c:v>
                </c:pt>
                <c:pt idx="3">
                  <c:v>43910.624748379632</c:v>
                </c:pt>
                <c:pt idx="4">
                  <c:v>43913.624748379632</c:v>
                </c:pt>
                <c:pt idx="5">
                  <c:v>43916.624748379632</c:v>
                </c:pt>
                <c:pt idx="6">
                  <c:v>43919.624748379632</c:v>
                </c:pt>
                <c:pt idx="7">
                  <c:v>43922.624748379632</c:v>
                </c:pt>
                <c:pt idx="8">
                  <c:v>43925.624748379632</c:v>
                </c:pt>
                <c:pt idx="9">
                  <c:v>43928.624748379632</c:v>
                </c:pt>
                <c:pt idx="10">
                  <c:v>43931.624748379632</c:v>
                </c:pt>
                <c:pt idx="11">
                  <c:v>43934.624748379632</c:v>
                </c:pt>
                <c:pt idx="12">
                  <c:v>43937.624748379632</c:v>
                </c:pt>
                <c:pt idx="13">
                  <c:v>43940.624748379632</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138.36477987421384</c:v>
                </c:pt>
                <c:pt idx="1">
                  <c:v>276.72955974842768</c:v>
                </c:pt>
                <c:pt idx="2">
                  <c:v>553.45911949685535</c:v>
                </c:pt>
                <c:pt idx="3">
                  <c:v>1106.9182389937107</c:v>
                </c:pt>
                <c:pt idx="4">
                  <c:v>2213.8364779874214</c:v>
                </c:pt>
                <c:pt idx="5">
                  <c:v>4427.6729559748428</c:v>
                </c:pt>
                <c:pt idx="6">
                  <c:v>8855.3459119496856</c:v>
                </c:pt>
                <c:pt idx="7">
                  <c:v>17710.691823899371</c:v>
                </c:pt>
                <c:pt idx="8">
                  <c:v>35421.383647798742</c:v>
                </c:pt>
                <c:pt idx="9">
                  <c:v>70842.767295597485</c:v>
                </c:pt>
                <c:pt idx="10">
                  <c:v>141685.53459119497</c:v>
                </c:pt>
                <c:pt idx="11">
                  <c:v>283371.06918238994</c:v>
                </c:pt>
                <c:pt idx="12">
                  <c:v>566742.13836477988</c:v>
                </c:pt>
                <c:pt idx="13">
                  <c:v>1133484.2767295598</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43901.624748379632</c:v>
                </c:pt>
                <c:pt idx="1">
                  <c:v>43904.624748379632</c:v>
                </c:pt>
                <c:pt idx="2">
                  <c:v>43907.624748379632</c:v>
                </c:pt>
                <c:pt idx="3">
                  <c:v>43910.624748379632</c:v>
                </c:pt>
                <c:pt idx="4">
                  <c:v>43913.624748379632</c:v>
                </c:pt>
                <c:pt idx="5">
                  <c:v>43916.624748379632</c:v>
                </c:pt>
                <c:pt idx="6">
                  <c:v>43919.624748379632</c:v>
                </c:pt>
                <c:pt idx="7">
                  <c:v>43922.624748379632</c:v>
                </c:pt>
                <c:pt idx="8">
                  <c:v>43925.624748379632</c:v>
                </c:pt>
                <c:pt idx="9">
                  <c:v>43928.624748379632</c:v>
                </c:pt>
                <c:pt idx="10">
                  <c:v>43931.624748379632</c:v>
                </c:pt>
                <c:pt idx="11">
                  <c:v>43934.624748379632</c:v>
                </c:pt>
                <c:pt idx="12">
                  <c:v>43937.624748379632</c:v>
                </c:pt>
                <c:pt idx="13">
                  <c:v>43940.624748379632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18.867924528301888</c:v>
                </c:pt>
                <c:pt idx="4">
                  <c:v>37.735849056603776</c:v>
                </c:pt>
                <c:pt idx="5">
                  <c:v>75.471698113207552</c:v>
                </c:pt>
                <c:pt idx="6">
                  <c:v>150.9433962264151</c:v>
                </c:pt>
                <c:pt idx="7">
                  <c:v>301.88679245283021</c:v>
                </c:pt>
                <c:pt idx="8">
                  <c:v>603.77358490566041</c:v>
                </c:pt>
                <c:pt idx="9">
                  <c:v>1207.5471698113208</c:v>
                </c:pt>
                <c:pt idx="10">
                  <c:v>2415.0943396226417</c:v>
                </c:pt>
                <c:pt idx="11">
                  <c:v>4830.1886792452833</c:v>
                </c:pt>
                <c:pt idx="12">
                  <c:v>9660.3773584905666</c:v>
                </c:pt>
                <c:pt idx="13">
                  <c:v>19320.754716981133</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43901.624748379632</c:v>
                </c:pt>
                <c:pt idx="1">
                  <c:v>43904.624748379632</c:v>
                </c:pt>
                <c:pt idx="2">
                  <c:v>43907.624748379632</c:v>
                </c:pt>
                <c:pt idx="3">
                  <c:v>43910.624748379632</c:v>
                </c:pt>
                <c:pt idx="4">
                  <c:v>43913.624748379632</c:v>
                </c:pt>
                <c:pt idx="5">
                  <c:v>43916.624748379632</c:v>
                </c:pt>
                <c:pt idx="6">
                  <c:v>43919.624748379632</c:v>
                </c:pt>
                <c:pt idx="7">
                  <c:v>43922.624748379632</c:v>
                </c:pt>
                <c:pt idx="8">
                  <c:v>43925.624748379632</c:v>
                </c:pt>
                <c:pt idx="9">
                  <c:v>43928.624748379632</c:v>
                </c:pt>
                <c:pt idx="10">
                  <c:v>43931.624748379632</c:v>
                </c:pt>
                <c:pt idx="11">
                  <c:v>43934.624748379632</c:v>
                </c:pt>
                <c:pt idx="12">
                  <c:v>43937.624748379632</c:v>
                </c:pt>
                <c:pt idx="13">
                  <c:v>43940.624748379632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18.867924528301888</c:v>
                </c:pt>
                <c:pt idx="4">
                  <c:v>37.735849056603776</c:v>
                </c:pt>
                <c:pt idx="5">
                  <c:v>75.471698113207552</c:v>
                </c:pt>
                <c:pt idx="6">
                  <c:v>150.9433962264151</c:v>
                </c:pt>
                <c:pt idx="7">
                  <c:v>301.88679245283021</c:v>
                </c:pt>
                <c:pt idx="8">
                  <c:v>603.77358490566041</c:v>
                </c:pt>
                <c:pt idx="9">
                  <c:v>1207.5471698113208</c:v>
                </c:pt>
                <c:pt idx="10">
                  <c:v>2415.0943396226417</c:v>
                </c:pt>
                <c:pt idx="11">
                  <c:v>4830.1886792452833</c:v>
                </c:pt>
                <c:pt idx="12">
                  <c:v>9660.3773584905666</c:v>
                </c:pt>
                <c:pt idx="13">
                  <c:v>19320.754716981133</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43901.624748379632</c:v>
                </c:pt>
                <c:pt idx="1">
                  <c:v>43904.624748379632</c:v>
                </c:pt>
                <c:pt idx="2">
                  <c:v>43907.624748379632</c:v>
                </c:pt>
                <c:pt idx="3">
                  <c:v>43910.624748379632</c:v>
                </c:pt>
                <c:pt idx="4">
                  <c:v>43913.624748379632</c:v>
                </c:pt>
                <c:pt idx="5">
                  <c:v>43916.624748379632</c:v>
                </c:pt>
                <c:pt idx="6">
                  <c:v>43919.624748379632</c:v>
                </c:pt>
                <c:pt idx="7">
                  <c:v>43922.624748379632</c:v>
                </c:pt>
                <c:pt idx="8">
                  <c:v>43925.624748379632</c:v>
                </c:pt>
                <c:pt idx="9">
                  <c:v>43928.624748379632</c:v>
                </c:pt>
                <c:pt idx="10">
                  <c:v>43931.624748379632</c:v>
                </c:pt>
                <c:pt idx="11">
                  <c:v>43934.624748379632</c:v>
                </c:pt>
                <c:pt idx="12">
                  <c:v>43937.624748379632</c:v>
                </c:pt>
                <c:pt idx="13">
                  <c:v>43940.624748379632</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18.867924528301899</c:v>
                </c:pt>
                <c:pt idx="3">
                  <c:v>37.735849056603797</c:v>
                </c:pt>
                <c:pt idx="4">
                  <c:v>61.132075471698158</c:v>
                </c:pt>
                <c:pt idx="5">
                  <c:v>122.26415094339632</c:v>
                </c:pt>
                <c:pt idx="6">
                  <c:v>244.52830188679263</c:v>
                </c:pt>
                <c:pt idx="7">
                  <c:v>473.77358490566075</c:v>
                </c:pt>
                <c:pt idx="8">
                  <c:v>947.54716981132151</c:v>
                </c:pt>
                <c:pt idx="9">
                  <c:v>1895.094339622643</c:v>
                </c:pt>
                <c:pt idx="10">
                  <c:v>3790.188679245286</c:v>
                </c:pt>
                <c:pt idx="11">
                  <c:v>7580.3773584905721</c:v>
                </c:pt>
                <c:pt idx="12">
                  <c:v>15176.037735849068</c:v>
                </c:pt>
                <c:pt idx="13">
                  <c:v>30352.075471698136</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43901.624748379632</c:v>
                </c:pt>
                <c:pt idx="1">
                  <c:v>43904.624748379632</c:v>
                </c:pt>
                <c:pt idx="2">
                  <c:v>43907.624748379632</c:v>
                </c:pt>
                <c:pt idx="3">
                  <c:v>43910.624748379632</c:v>
                </c:pt>
                <c:pt idx="4">
                  <c:v>43913.624748379632</c:v>
                </c:pt>
                <c:pt idx="5">
                  <c:v>43916.624748379632</c:v>
                </c:pt>
                <c:pt idx="6">
                  <c:v>43919.624748379632</c:v>
                </c:pt>
                <c:pt idx="7">
                  <c:v>43922.624748379632</c:v>
                </c:pt>
                <c:pt idx="8">
                  <c:v>43925.624748379632</c:v>
                </c:pt>
                <c:pt idx="9">
                  <c:v>43928.624748379632</c:v>
                </c:pt>
                <c:pt idx="10">
                  <c:v>43931.624748379632</c:v>
                </c:pt>
                <c:pt idx="11">
                  <c:v>43934.624748379632</c:v>
                </c:pt>
                <c:pt idx="12">
                  <c:v>43937.624748379632</c:v>
                </c:pt>
                <c:pt idx="13">
                  <c:v>43940.624748379632</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14.339622641509443</c:v>
                </c:pt>
                <c:pt idx="5">
                  <c:v>28.679245283018886</c:v>
                </c:pt>
                <c:pt idx="6">
                  <c:v>42.26415094339626</c:v>
                </c:pt>
                <c:pt idx="7">
                  <c:v>84.528301886792519</c:v>
                </c:pt>
                <c:pt idx="8">
                  <c:v>169.05660377358504</c:v>
                </c:pt>
                <c:pt idx="9">
                  <c:v>338.11320754717008</c:v>
                </c:pt>
                <c:pt idx="10">
                  <c:v>676.22641509434015</c:v>
                </c:pt>
                <c:pt idx="11">
                  <c:v>1352.4528301886803</c:v>
                </c:pt>
                <c:pt idx="12">
                  <c:v>2704.9056603773606</c:v>
                </c:pt>
                <c:pt idx="13">
                  <c:v>5409.8113207547212</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43901.624748379632</c:v>
                </c:pt>
                <c:pt idx="1">
                  <c:v>43904.624748379632</c:v>
                </c:pt>
                <c:pt idx="2">
                  <c:v>43907.624748379632</c:v>
                </c:pt>
                <c:pt idx="3">
                  <c:v>43910.624748379632</c:v>
                </c:pt>
                <c:pt idx="4">
                  <c:v>43913.624748379632</c:v>
                </c:pt>
                <c:pt idx="5">
                  <c:v>43916.624748379632</c:v>
                </c:pt>
                <c:pt idx="6">
                  <c:v>43919.624748379632</c:v>
                </c:pt>
                <c:pt idx="7">
                  <c:v>43922.624748379632</c:v>
                </c:pt>
                <c:pt idx="8">
                  <c:v>43925.624748379632</c:v>
                </c:pt>
                <c:pt idx="9">
                  <c:v>43928.624748379632</c:v>
                </c:pt>
                <c:pt idx="10">
                  <c:v>43931.624748379632</c:v>
                </c:pt>
                <c:pt idx="11">
                  <c:v>43934.624748379632</c:v>
                </c:pt>
                <c:pt idx="12">
                  <c:v>43937.624748379632</c:v>
                </c:pt>
                <c:pt idx="13">
                  <c:v>43940.624748379632</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15.09433962264152</c:v>
                </c:pt>
                <c:pt idx="7">
                  <c:v>30.188679245283041</c:v>
                </c:pt>
                <c:pt idx="8">
                  <c:v>60.377358490566081</c:v>
                </c:pt>
                <c:pt idx="9">
                  <c:v>120.75471698113216</c:v>
                </c:pt>
                <c:pt idx="10">
                  <c:v>241.50943396226432</c:v>
                </c:pt>
                <c:pt idx="11">
                  <c:v>483.01886792452865</c:v>
                </c:pt>
                <c:pt idx="12">
                  <c:v>966.0377358490573</c:v>
                </c:pt>
                <c:pt idx="13">
                  <c:v>1932.0754716981146</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Projections!$A$118</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Projections!$L$118:$AN$118</c15:sqref>
                  </c15:fullRef>
                </c:ext>
              </c:extLst>
              <c:f>Projections!$L$118:$AE$118</c:f>
              <c:numCache>
                <c:formatCode>#,##0_ ;[Red]\-#,##0\ </c:formatCode>
                <c:ptCount val="20"/>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573.20080200802715</c:v>
                </c:pt>
                <c:pt idx="11">
                  <c:v>1576.9999999999995</c:v>
                </c:pt>
                <c:pt idx="12">
                  <c:v>4145.4455784766114</c:v>
                </c:pt>
                <c:pt idx="13">
                  <c:v>14658.884770024193</c:v>
                </c:pt>
                <c:pt idx="14">
                  <c:v>64486.753877005009</c:v>
                </c:pt>
                <c:pt idx="15">
                  <c:v>120681.5837010993</c:v>
                </c:pt>
                <c:pt idx="16">
                  <c:v>167412.55997051939</c:v>
                </c:pt>
                <c:pt idx="17">
                  <c:v>190781.17861787492</c:v>
                </c:pt>
                <c:pt idx="18">
                  <c:v>200061.07088783607</c:v>
                </c:pt>
                <c:pt idx="19">
                  <c:v>4992847.3378515299</c:v>
                </c:pt>
              </c:numCache>
            </c:numRef>
          </c:val>
          <c:smooth val="0"/>
          <c:extLst>
            <c:ext xmlns:c16="http://schemas.microsoft.com/office/drawing/2014/chart" uri="{C3380CC4-5D6E-409C-BE32-E72D297353CC}">
              <c16:uniqueId val="{00000003-5231-4BE2-97ED-54F0C3DB105C}"/>
            </c:ext>
          </c:extLst>
        </c:ser>
        <c:ser>
          <c:idx val="2"/>
          <c:order val="1"/>
          <c:tx>
            <c:strRef>
              <c:f>Projections!$A$119</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Projections!$L$119:$AN$119</c15:sqref>
                  </c15:fullRef>
                </c:ext>
              </c:extLst>
              <c:f>Projections!$L$119:$AE$119</c:f>
              <c:numCache>
                <c:formatCode>#,##0_ ;[Red]\-#,##0\ </c:formatCode>
                <c:ptCount val="20"/>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573.20080200802715</c:v>
                </c:pt>
                <c:pt idx="11">
                  <c:v>1576.9999999999995</c:v>
                </c:pt>
                <c:pt idx="12">
                  <c:v>4145.4455784766114</c:v>
                </c:pt>
                <c:pt idx="13">
                  <c:v>14658.884770024193</c:v>
                </c:pt>
                <c:pt idx="14">
                  <c:v>58944.211012749765</c:v>
                </c:pt>
                <c:pt idx="15">
                  <c:v>97306.683108386991</c:v>
                </c:pt>
                <c:pt idx="16">
                  <c:v>126693.47411498739</c:v>
                </c:pt>
                <c:pt idx="17">
                  <c:v>139644.54291810072</c:v>
                </c:pt>
                <c:pt idx="18">
                  <c:v>160827.46884757033</c:v>
                </c:pt>
                <c:pt idx="19">
                  <c:v>4426907.6828267695</c:v>
                </c:pt>
              </c:numCache>
            </c:numRef>
          </c:val>
          <c:smooth val="0"/>
          <c:extLst>
            <c:ext xmlns:c16="http://schemas.microsoft.com/office/drawing/2014/chart" uri="{C3380CC4-5D6E-409C-BE32-E72D297353CC}">
              <c16:uniqueId val="{00000002-9381-4A4E-BB43-DCD8EC2F4E00}"/>
            </c:ext>
          </c:extLst>
        </c:ser>
        <c:ser>
          <c:idx val="0"/>
          <c:order val="2"/>
          <c:tx>
            <c:strRef>
              <c:f>Projections!$A$120</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Projections!$L$120:$AN$120</c15:sqref>
                  </c15:fullRef>
                </c:ext>
              </c:extLst>
              <c:f>Projections!$L$120:$AE$120</c:f>
              <c:numCache>
                <c:formatCode>#,##0_ ;[Red]\-#,##0\ </c:formatCode>
                <c:ptCount val="20"/>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123.66071428571428</c:v>
                </c:pt>
                <c:pt idx="13">
                  <c:v>514.38422097436683</c:v>
                </c:pt>
                <c:pt idx="14">
                  <c:v>5547.1428571428523</c:v>
                </c:pt>
                <c:pt idx="15">
                  <c:v>23467.832178104338</c:v>
                </c:pt>
                <c:pt idx="16">
                  <c:v>42396.91154169471</c:v>
                </c:pt>
                <c:pt idx="17">
                  <c:v>56919.234564517807</c:v>
                </c:pt>
                <c:pt idx="18">
                  <c:v>63014.989810986117</c:v>
                </c:pt>
                <c:pt idx="19">
                  <c:v>555817.40744357242</c:v>
                </c:pt>
              </c:numCache>
            </c:numRef>
          </c:val>
          <c:smooth val="0"/>
          <c:extLst>
            <c:ext xmlns:c16="http://schemas.microsoft.com/office/drawing/2014/chart" uri="{C3380CC4-5D6E-409C-BE32-E72D297353CC}">
              <c16:uniqueId val="{00000000-9381-4A4E-BB43-DCD8EC2F4E00}"/>
            </c:ext>
          </c:extLst>
        </c:ser>
        <c:ser>
          <c:idx val="4"/>
          <c:order val="3"/>
          <c:tx>
            <c:strRef>
              <c:f>Projections!$A$121</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Projections!$L$121:$AN$121</c15:sqref>
                  </c15:fullRef>
                </c:ext>
              </c:extLst>
              <c:f>Projections!$L$121:$AE$121</c:f>
              <c:numCache>
                <c:formatCode>#,##0_ ;[Red]\-#,##0\ </c:formatCode>
                <c:ptCount val="20"/>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121.90833273345505</c:v>
                </c:pt>
                <c:pt idx="13">
                  <c:v>511.27485454338046</c:v>
                </c:pt>
                <c:pt idx="14">
                  <c:v>5534.0428642552415</c:v>
                </c:pt>
                <c:pt idx="15">
                  <c:v>23301.234511703671</c:v>
                </c:pt>
                <c:pt idx="16">
                  <c:v>40015.117670784297</c:v>
                </c:pt>
                <c:pt idx="17">
                  <c:v>41507.535645714423</c:v>
                </c:pt>
                <c:pt idx="18">
                  <c:v>952.22239709334099</c:v>
                </c:pt>
                <c:pt idx="19">
                  <c:v>437192.52497634443</c:v>
                </c:pt>
              </c:numCache>
            </c:numRef>
          </c:val>
          <c:smooth val="0"/>
          <c:extLst>
            <c:ext xmlns:c16="http://schemas.microsoft.com/office/drawing/2014/chart" uri="{C3380CC4-5D6E-409C-BE32-E72D297353CC}">
              <c16:uniqueId val="{00000003-9381-4A4E-BB43-DCD8EC2F4E00}"/>
            </c:ext>
          </c:extLst>
        </c:ser>
        <c:ser>
          <c:idx val="1"/>
          <c:order val="4"/>
          <c:tx>
            <c:strRef>
              <c:f>Projections!$A$122</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Projections!$L$122:$AN$122</c15:sqref>
                  </c15:fullRef>
                </c:ext>
              </c:extLst>
              <c:f>Projections!$L$122:$AE$122</c:f>
              <c:numCache>
                <c:formatCode>#,##0_ ;[Red]\-#,##0\ </c:formatCode>
                <c:ptCount val="20"/>
                <c:pt idx="0">
                  <c:v>1.65625</c:v>
                </c:pt>
                <c:pt idx="1">
                  <c:v>3.3125</c:v>
                </c:pt>
                <c:pt idx="2">
                  <c:v>6.625</c:v>
                </c:pt>
                <c:pt idx="3">
                  <c:v>13.25</c:v>
                </c:pt>
                <c:pt idx="4">
                  <c:v>26.5</c:v>
                </c:pt>
                <c:pt idx="5">
                  <c:v>53</c:v>
                </c:pt>
                <c:pt idx="6">
                  <c:v>106</c:v>
                </c:pt>
                <c:pt idx="7">
                  <c:v>212</c:v>
                </c:pt>
                <c:pt idx="8">
                  <c:v>424</c:v>
                </c:pt>
                <c:pt idx="9">
                  <c:v>848</c:v>
                </c:pt>
                <c:pt idx="10">
                  <c:v>1696</c:v>
                </c:pt>
                <c:pt idx="11">
                  <c:v>3392</c:v>
                </c:pt>
                <c:pt idx="12">
                  <c:v>6784</c:v>
                </c:pt>
                <c:pt idx="13">
                  <c:v>13568</c:v>
                </c:pt>
                <c:pt idx="14">
                  <c:v>27136</c:v>
                </c:pt>
                <c:pt idx="15">
                  <c:v>40704</c:v>
                </c:pt>
                <c:pt idx="16">
                  <c:v>47488</c:v>
                </c:pt>
                <c:pt idx="17">
                  <c:v>51015.68</c:v>
                </c:pt>
                <c:pt idx="18">
                  <c:v>54272</c:v>
                </c:pt>
                <c:pt idx="19">
                  <c:v>108544</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Projections!$A$140</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Projections!$L$140:$AN$140</c15:sqref>
                  </c15:fullRef>
                </c:ext>
              </c:extLst>
              <c:f>Projections!$L$140:$AE$140</c:f>
              <c:numCache>
                <c:formatCode>#,##0</c:formatCode>
                <c:ptCount val="20"/>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22155.169324493818</c:v>
                </c:pt>
                <c:pt idx="16">
                  <c:v>25847.697545242787</c:v>
                </c:pt>
                <c:pt idx="17">
                  <c:v>27767.81222003225</c:v>
                </c:pt>
                <c:pt idx="18">
                  <c:v>29540.225765991756</c:v>
                </c:pt>
                <c:pt idx="19">
                  <c:v>59080.451531983512</c:v>
                </c:pt>
              </c:numCache>
            </c:numRef>
          </c:val>
          <c:smooth val="0"/>
          <c:extLst>
            <c:ext xmlns:c16="http://schemas.microsoft.com/office/drawing/2014/chart" uri="{C3380CC4-5D6E-409C-BE32-E72D297353CC}">
              <c16:uniqueId val="{00000000-04B6-450D-AD81-6BF382C059D1}"/>
            </c:ext>
          </c:extLst>
        </c:ser>
        <c:ser>
          <c:idx val="2"/>
          <c:order val="1"/>
          <c:tx>
            <c:strRef>
              <c:f>Projections!$A$142</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Projections!$L$142:$AN$142</c15:sqref>
                  </c15:fullRef>
                </c:ext>
              </c:extLst>
              <c:f>Projections!$L$142:$AE$142</c:f>
              <c:numCache>
                <c:formatCode>#,##0</c:formatCode>
                <c:ptCount val="20"/>
                <c:pt idx="0">
                  <c:v>3.3316161978140117</c:v>
                </c:pt>
                <c:pt idx="1">
                  <c:v>6.6632323956280235</c:v>
                </c:pt>
                <c:pt idx="2">
                  <c:v>13.326464791256047</c:v>
                </c:pt>
                <c:pt idx="3">
                  <c:v>26.652929582512094</c:v>
                </c:pt>
                <c:pt idx="4">
                  <c:v>53.305859165024188</c:v>
                </c:pt>
                <c:pt idx="5">
                  <c:v>106.61171833004838</c:v>
                </c:pt>
                <c:pt idx="6">
                  <c:v>213.22343666009675</c:v>
                </c:pt>
                <c:pt idx="7">
                  <c:v>426.4468733201935</c:v>
                </c:pt>
                <c:pt idx="8">
                  <c:v>852.89374664038701</c:v>
                </c:pt>
                <c:pt idx="9">
                  <c:v>1705.787493280774</c:v>
                </c:pt>
                <c:pt idx="10">
                  <c:v>3411.574986561548</c:v>
                </c:pt>
                <c:pt idx="11">
                  <c:v>6823.1499731230961</c:v>
                </c:pt>
                <c:pt idx="12">
                  <c:v>13646.299946246192</c:v>
                </c:pt>
                <c:pt idx="13">
                  <c:v>27292.599892492384</c:v>
                </c:pt>
                <c:pt idx="14">
                  <c:v>54585.199784984768</c:v>
                </c:pt>
                <c:pt idx="15">
                  <c:v>81877.799677477145</c:v>
                </c:pt>
                <c:pt idx="16">
                  <c:v>95524.099623723334</c:v>
                </c:pt>
                <c:pt idx="17">
                  <c:v>102620.17559577136</c:v>
                </c:pt>
                <c:pt idx="18">
                  <c:v>109170.39956996954</c:v>
                </c:pt>
                <c:pt idx="19">
                  <c:v>218340.79913993907</c:v>
                </c:pt>
              </c:numCache>
            </c:numRef>
          </c:val>
          <c:smooth val="0"/>
          <c:extLst>
            <c:ext xmlns:c16="http://schemas.microsoft.com/office/drawing/2014/chart" uri="{C3380CC4-5D6E-409C-BE32-E72D297353CC}">
              <c16:uniqueId val="{00000002-04B6-450D-AD81-6BF382C059D1}"/>
            </c:ext>
          </c:extLst>
        </c:ser>
        <c:ser>
          <c:idx val="4"/>
          <c:order val="2"/>
          <c:tx>
            <c:strRef>
              <c:f>Projections!$A$144</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Projections!$L$144:$AN$144</c15:sqref>
                  </c15:fullRef>
                </c:ext>
              </c:extLst>
              <c:f>Projections!$L$144:$AE$144</c:f>
              <c:numCache>
                <c:formatCode>#,##0</c:formatCode>
                <c:ptCount val="20"/>
                <c:pt idx="0">
                  <c:v>5.2297975273248518</c:v>
                </c:pt>
                <c:pt idx="1">
                  <c:v>10.459595054649704</c:v>
                </c:pt>
                <c:pt idx="2">
                  <c:v>20.919190109299407</c:v>
                </c:pt>
                <c:pt idx="3">
                  <c:v>41.838380218598815</c:v>
                </c:pt>
                <c:pt idx="4">
                  <c:v>83.676760437197629</c:v>
                </c:pt>
                <c:pt idx="5">
                  <c:v>167.35352087439526</c:v>
                </c:pt>
                <c:pt idx="6">
                  <c:v>334.70704174879052</c:v>
                </c:pt>
                <c:pt idx="7">
                  <c:v>669.41408349758103</c:v>
                </c:pt>
                <c:pt idx="8">
                  <c:v>1338.8281669951621</c:v>
                </c:pt>
                <c:pt idx="9">
                  <c:v>2677.6563339903241</c:v>
                </c:pt>
                <c:pt idx="10">
                  <c:v>5355.3126679806483</c:v>
                </c:pt>
                <c:pt idx="11">
                  <c:v>10710.625335961297</c:v>
                </c:pt>
                <c:pt idx="12">
                  <c:v>21421.250671922593</c:v>
                </c:pt>
                <c:pt idx="13">
                  <c:v>42842.501343845186</c:v>
                </c:pt>
                <c:pt idx="14">
                  <c:v>85685.002687690372</c:v>
                </c:pt>
                <c:pt idx="15">
                  <c:v>128527.50403153556</c:v>
                </c:pt>
                <c:pt idx="16">
                  <c:v>149948.75470345814</c:v>
                </c:pt>
                <c:pt idx="17">
                  <c:v>161087.8050528579</c:v>
                </c:pt>
                <c:pt idx="18">
                  <c:v>171370.00537538074</c:v>
                </c:pt>
                <c:pt idx="19">
                  <c:v>342740.01075076149</c:v>
                </c:pt>
              </c:numCache>
            </c:numRef>
          </c:val>
          <c:smooth val="0"/>
          <c:extLst>
            <c:ext xmlns:c16="http://schemas.microsoft.com/office/drawing/2014/chart" uri="{C3380CC4-5D6E-409C-BE32-E72D297353CC}">
              <c16:uniqueId val="{00000004-04B6-450D-AD81-6BF382C059D1}"/>
            </c:ext>
          </c:extLst>
        </c:ser>
        <c:ser>
          <c:idx val="6"/>
          <c:order val="3"/>
          <c:tx>
            <c:strRef>
              <c:f>Projections!$A$146</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Projections!$L$146:$AN$146</c15:sqref>
                  </c15:fullRef>
                </c:ext>
              </c:extLst>
              <c:f>Projections!$L$146:$AE$146</c:f>
              <c:numCache>
                <c:formatCode>#,##0</c:formatCode>
                <c:ptCount val="20"/>
                <c:pt idx="0">
                  <c:v>4.8546407453861313</c:v>
                </c:pt>
                <c:pt idx="1">
                  <c:v>9.7092814907722627</c:v>
                </c:pt>
                <c:pt idx="2">
                  <c:v>19.418562981544525</c:v>
                </c:pt>
                <c:pt idx="3">
                  <c:v>38.837125963089051</c:v>
                </c:pt>
                <c:pt idx="4">
                  <c:v>77.674251926178101</c:v>
                </c:pt>
                <c:pt idx="5">
                  <c:v>155.3485038523562</c:v>
                </c:pt>
                <c:pt idx="6">
                  <c:v>310.69700770471241</c:v>
                </c:pt>
                <c:pt idx="7">
                  <c:v>621.39401540942481</c:v>
                </c:pt>
                <c:pt idx="8">
                  <c:v>1242.7880308188496</c:v>
                </c:pt>
                <c:pt idx="9">
                  <c:v>2485.5760616376992</c:v>
                </c:pt>
                <c:pt idx="10">
                  <c:v>4971.1521232753985</c:v>
                </c:pt>
                <c:pt idx="11">
                  <c:v>9942.304246550797</c:v>
                </c:pt>
                <c:pt idx="12">
                  <c:v>19884.608493101594</c:v>
                </c:pt>
                <c:pt idx="13">
                  <c:v>39769.216986203188</c:v>
                </c:pt>
                <c:pt idx="14">
                  <c:v>79538.433972406376</c:v>
                </c:pt>
                <c:pt idx="15">
                  <c:v>119307.65095860958</c:v>
                </c:pt>
                <c:pt idx="16">
                  <c:v>139192.25945171117</c:v>
                </c:pt>
                <c:pt idx="17">
                  <c:v>149532.25586812399</c:v>
                </c:pt>
                <c:pt idx="18">
                  <c:v>159076.86794481275</c:v>
                </c:pt>
                <c:pt idx="19">
                  <c:v>318153.7358896255</c:v>
                </c:pt>
              </c:numCache>
            </c:numRef>
          </c:val>
          <c:smooth val="0"/>
          <c:extLst>
            <c:ext xmlns:c16="http://schemas.microsoft.com/office/drawing/2014/chart" uri="{C3380CC4-5D6E-409C-BE32-E72D297353CC}">
              <c16:uniqueId val="{00000006-04B6-450D-AD81-6BF382C059D1}"/>
            </c:ext>
          </c:extLst>
        </c:ser>
        <c:ser>
          <c:idx val="8"/>
          <c:order val="4"/>
          <c:tx>
            <c:strRef>
              <c:f>Projections!$A$148</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Projections!$L$148:$AN$148</c15:sqref>
                  </c15:fullRef>
                </c:ext>
              </c:extLst>
              <c:f>Projections!$L$148:$AE$148</c:f>
              <c:numCache>
                <c:formatCode>#,##0</c:formatCode>
                <c:ptCount val="20"/>
                <c:pt idx="0">
                  <c:v>4.0539329869199063</c:v>
                </c:pt>
                <c:pt idx="1">
                  <c:v>8.1078659738398127</c:v>
                </c:pt>
                <c:pt idx="2">
                  <c:v>16.215731947679625</c:v>
                </c:pt>
                <c:pt idx="3">
                  <c:v>32.431463895359251</c:v>
                </c:pt>
                <c:pt idx="4">
                  <c:v>64.862927790718501</c:v>
                </c:pt>
                <c:pt idx="5">
                  <c:v>129.725855581437</c:v>
                </c:pt>
                <c:pt idx="6">
                  <c:v>259.45171116287401</c:v>
                </c:pt>
                <c:pt idx="7">
                  <c:v>518.90342232574801</c:v>
                </c:pt>
                <c:pt idx="8">
                  <c:v>1037.806844651496</c:v>
                </c:pt>
                <c:pt idx="9">
                  <c:v>2075.613689302992</c:v>
                </c:pt>
                <c:pt idx="10">
                  <c:v>4151.2273786059841</c:v>
                </c:pt>
                <c:pt idx="11">
                  <c:v>8302.4547572119682</c:v>
                </c:pt>
                <c:pt idx="12">
                  <c:v>16604.909514423936</c:v>
                </c:pt>
                <c:pt idx="13">
                  <c:v>33209.819028847873</c:v>
                </c:pt>
                <c:pt idx="14">
                  <c:v>66419.638057695745</c:v>
                </c:pt>
                <c:pt idx="15">
                  <c:v>99629.457086543625</c:v>
                </c:pt>
                <c:pt idx="16">
                  <c:v>116234.36660096757</c:v>
                </c:pt>
                <c:pt idx="17">
                  <c:v>124868.91954846801</c:v>
                </c:pt>
                <c:pt idx="18">
                  <c:v>132839.27611539149</c:v>
                </c:pt>
                <c:pt idx="19">
                  <c:v>265678.55223078298</c:v>
                </c:pt>
              </c:numCache>
            </c:numRef>
          </c:val>
          <c:smooth val="0"/>
          <c:extLst>
            <c:ext xmlns:c16="http://schemas.microsoft.com/office/drawing/2014/chart" uri="{C3380CC4-5D6E-409C-BE32-E72D297353CC}">
              <c16:uniqueId val="{00000008-04B6-450D-AD81-6BF382C059D1}"/>
            </c:ext>
          </c:extLst>
        </c:ser>
        <c:ser>
          <c:idx val="10"/>
          <c:order val="5"/>
          <c:tx>
            <c:strRef>
              <c:f>Projections!$A$150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Projections!$L$150:$AN$150</c15:sqref>
                  </c15:fullRef>
                </c:ext>
              </c:extLst>
              <c:f>Projections!$L$150:$AE$150</c:f>
              <c:numCache>
                <c:formatCode>#,##0</c:formatCode>
                <c:ptCount val="20"/>
                <c:pt idx="0">
                  <c:v>4.9162336498835328</c:v>
                </c:pt>
                <c:pt idx="1">
                  <c:v>9.8324672997670657</c:v>
                </c:pt>
                <c:pt idx="2">
                  <c:v>19.664934599534131</c:v>
                </c:pt>
                <c:pt idx="3">
                  <c:v>39.329869199068263</c:v>
                </c:pt>
                <c:pt idx="4">
                  <c:v>78.659738398136525</c:v>
                </c:pt>
                <c:pt idx="5">
                  <c:v>157.31947679627305</c:v>
                </c:pt>
                <c:pt idx="6">
                  <c:v>314.6389535925461</c:v>
                </c:pt>
                <c:pt idx="7">
                  <c:v>629.2779071850922</c:v>
                </c:pt>
                <c:pt idx="8">
                  <c:v>1258.5558143701844</c:v>
                </c:pt>
                <c:pt idx="9">
                  <c:v>2517.1116287403688</c:v>
                </c:pt>
                <c:pt idx="10">
                  <c:v>5034.2232574807376</c:v>
                </c:pt>
                <c:pt idx="11">
                  <c:v>10068.446514961475</c:v>
                </c:pt>
                <c:pt idx="12">
                  <c:v>20136.893029922951</c:v>
                </c:pt>
                <c:pt idx="13">
                  <c:v>40273.786059845901</c:v>
                </c:pt>
                <c:pt idx="14">
                  <c:v>80547.572119691802</c:v>
                </c:pt>
                <c:pt idx="15">
                  <c:v>120821.35817953771</c:v>
                </c:pt>
                <c:pt idx="16">
                  <c:v>140958.25120946066</c:v>
                </c:pt>
                <c:pt idx="17">
                  <c:v>151429.4355850206</c:v>
                </c:pt>
                <c:pt idx="18">
                  <c:v>161095.1442393836</c:v>
                </c:pt>
                <c:pt idx="19">
                  <c:v>322190.28847876721</c:v>
                </c:pt>
              </c:numCache>
            </c:numRef>
          </c:val>
          <c:smooth val="0"/>
          <c:extLst>
            <c:ext xmlns:c16="http://schemas.microsoft.com/office/drawing/2014/chart" uri="{C3380CC4-5D6E-409C-BE32-E72D297353CC}">
              <c16:uniqueId val="{0000000A-04B6-450D-AD81-6BF382C059D1}"/>
            </c:ext>
          </c:extLst>
        </c:ser>
        <c:ser>
          <c:idx val="12"/>
          <c:order val="6"/>
          <c:tx>
            <c:strRef>
              <c:f>Projections!$A$152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Projections!$L$152:$AN$152</c15:sqref>
                  </c15:fullRef>
                </c:ext>
              </c:extLst>
              <c:f>Projections!$L$152:$AE$152</c:f>
              <c:numCache>
                <c:formatCode>#,##0</c:formatCode>
                <c:ptCount val="20"/>
                <c:pt idx="0">
                  <c:v>6.7528220748969714</c:v>
                </c:pt>
                <c:pt idx="1">
                  <c:v>13.505644149793943</c:v>
                </c:pt>
                <c:pt idx="2">
                  <c:v>27.011288299587886</c:v>
                </c:pt>
                <c:pt idx="3">
                  <c:v>54.022576599175771</c:v>
                </c:pt>
                <c:pt idx="4">
                  <c:v>108.04515319835154</c:v>
                </c:pt>
                <c:pt idx="5">
                  <c:v>216.09030639670308</c:v>
                </c:pt>
                <c:pt idx="6">
                  <c:v>432.18061279340617</c:v>
                </c:pt>
                <c:pt idx="7">
                  <c:v>864.36122558681234</c:v>
                </c:pt>
                <c:pt idx="8">
                  <c:v>1728.7224511736247</c:v>
                </c:pt>
                <c:pt idx="9">
                  <c:v>3457.4449023472494</c:v>
                </c:pt>
                <c:pt idx="10">
                  <c:v>6914.8898046944987</c:v>
                </c:pt>
                <c:pt idx="11">
                  <c:v>13829.779609388997</c:v>
                </c:pt>
                <c:pt idx="12">
                  <c:v>27659.559218777995</c:v>
                </c:pt>
                <c:pt idx="13">
                  <c:v>55319.11843755599</c:v>
                </c:pt>
                <c:pt idx="14">
                  <c:v>110638.23687511198</c:v>
                </c:pt>
                <c:pt idx="15">
                  <c:v>165957.35531266799</c:v>
                </c:pt>
                <c:pt idx="16">
                  <c:v>193616.91453144597</c:v>
                </c:pt>
                <c:pt idx="17">
                  <c:v>207999.88532521055</c:v>
                </c:pt>
                <c:pt idx="18">
                  <c:v>221276.47375022396</c:v>
                </c:pt>
                <c:pt idx="19">
                  <c:v>442552.94750044792</c:v>
                </c:pt>
              </c:numCache>
            </c:numRef>
          </c:val>
          <c:smooth val="0"/>
          <c:extLst>
            <c:ext xmlns:c16="http://schemas.microsoft.com/office/drawing/2014/chart" uri="{C3380CC4-5D6E-409C-BE32-E72D297353CC}">
              <c16:uniqueId val="{0000000C-04B6-450D-AD81-6BF382C059D1}"/>
            </c:ext>
          </c:extLst>
        </c:ser>
        <c:ser>
          <c:idx val="14"/>
          <c:order val="7"/>
          <c:tx>
            <c:strRef>
              <c:f>Projections!$A$154</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Projections!$L$154:$AN$154</c15:sqref>
                  </c15:fullRef>
                </c:ext>
              </c:extLst>
              <c:f>Projections!$L$154:$AE$154</c:f>
              <c:numCache>
                <c:formatCode>#,##0</c:formatCode>
                <c:ptCount val="20"/>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22155.169324493818</c:v>
                </c:pt>
                <c:pt idx="16">
                  <c:v>25847.697545242787</c:v>
                </c:pt>
                <c:pt idx="17">
                  <c:v>27767.81222003225</c:v>
                </c:pt>
                <c:pt idx="18">
                  <c:v>29540.225765991756</c:v>
                </c:pt>
                <c:pt idx="19">
                  <c:v>59080.451531983512</c:v>
                </c:pt>
              </c:numCache>
            </c:numRef>
          </c:val>
          <c:smooth val="0"/>
          <c:extLst>
            <c:ext xmlns:c16="http://schemas.microsoft.com/office/drawing/2014/chart" uri="{C3380CC4-5D6E-409C-BE32-E72D297353CC}">
              <c16:uniqueId val="{0000000E-04B6-450D-AD81-6BF382C059D1}"/>
            </c:ext>
          </c:extLst>
        </c:ser>
        <c:ser>
          <c:idx val="16"/>
          <c:order val="8"/>
          <c:tx>
            <c:strRef>
              <c:f>Projections!$A$156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Projections!$L$156:$AN$156</c15:sqref>
                  </c15:fullRef>
                </c:ext>
              </c:extLst>
              <c:f>Projections!$L$156:$AE$156</c:f>
              <c:numCache>
                <c:formatCode>#,##0</c:formatCode>
                <c:ptCount val="20"/>
                <c:pt idx="0">
                  <c:v>0.30796452248700945</c:v>
                </c:pt>
                <c:pt idx="1">
                  <c:v>0.6159290449740189</c:v>
                </c:pt>
                <c:pt idx="2">
                  <c:v>1.2318580899480378</c:v>
                </c:pt>
                <c:pt idx="3">
                  <c:v>2.4637161798960756</c:v>
                </c:pt>
                <c:pt idx="4">
                  <c:v>4.9274323597921512</c:v>
                </c:pt>
                <c:pt idx="5">
                  <c:v>9.8548647195843024</c:v>
                </c:pt>
                <c:pt idx="6">
                  <c:v>19.709729439168605</c:v>
                </c:pt>
                <c:pt idx="7">
                  <c:v>39.41945887833721</c:v>
                </c:pt>
                <c:pt idx="8">
                  <c:v>78.838917756674419</c:v>
                </c:pt>
                <c:pt idx="9">
                  <c:v>157.67783551334884</c:v>
                </c:pt>
                <c:pt idx="10">
                  <c:v>315.35567102669768</c:v>
                </c:pt>
                <c:pt idx="11">
                  <c:v>630.71134205339536</c:v>
                </c:pt>
                <c:pt idx="12">
                  <c:v>1261.4226841067907</c:v>
                </c:pt>
                <c:pt idx="13">
                  <c:v>2522.8453682135814</c:v>
                </c:pt>
                <c:pt idx="14">
                  <c:v>5045.6907364271628</c:v>
                </c:pt>
                <c:pt idx="15">
                  <c:v>7568.5361046407452</c:v>
                </c:pt>
                <c:pt idx="16">
                  <c:v>8829.9587887475354</c:v>
                </c:pt>
                <c:pt idx="17">
                  <c:v>9485.8985844830677</c:v>
                </c:pt>
                <c:pt idx="18">
                  <c:v>10091.381472854326</c:v>
                </c:pt>
                <c:pt idx="19">
                  <c:v>20182.762945708651</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Projections!$A$140</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Projections!$L$141:$AN$141</c15:sqref>
                  </c15:fullRef>
                </c:ext>
              </c:extLst>
              <c:f>Projections!$L$141:$AE$141</c:f>
              <c:numCache>
                <c:formatCode>#,##0</c:formatCode>
                <c:ptCount val="20"/>
                <c:pt idx="0">
                  <c:v>0.13342142985128111</c:v>
                </c:pt>
                <c:pt idx="1">
                  <c:v>0.26684285970256222</c:v>
                </c:pt>
                <c:pt idx="2">
                  <c:v>0.53368571940512444</c:v>
                </c:pt>
                <c:pt idx="3">
                  <c:v>1.0673714388102489</c:v>
                </c:pt>
                <c:pt idx="4">
                  <c:v>2.1347428776204977</c:v>
                </c:pt>
                <c:pt idx="5">
                  <c:v>4.2694857552409955</c:v>
                </c:pt>
                <c:pt idx="6">
                  <c:v>8.538971510481991</c:v>
                </c:pt>
                <c:pt idx="7">
                  <c:v>17.077943020963982</c:v>
                </c:pt>
                <c:pt idx="8">
                  <c:v>34.155886041927964</c:v>
                </c:pt>
                <c:pt idx="9">
                  <c:v>68.311772083855928</c:v>
                </c:pt>
                <c:pt idx="10">
                  <c:v>136.62354416771186</c:v>
                </c:pt>
                <c:pt idx="11">
                  <c:v>273.24708833542371</c:v>
                </c:pt>
                <c:pt idx="12">
                  <c:v>546.49417667084742</c:v>
                </c:pt>
                <c:pt idx="13">
                  <c:v>1092.9883533416948</c:v>
                </c:pt>
                <c:pt idx="14">
                  <c:v>2185.9767066833897</c:v>
                </c:pt>
                <c:pt idx="15">
                  <c:v>3278.9650600250848</c:v>
                </c:pt>
                <c:pt idx="16">
                  <c:v>3825.4592366959323</c:v>
                </c:pt>
                <c:pt idx="17">
                  <c:v>4109.6362085647725</c:v>
                </c:pt>
                <c:pt idx="18">
                  <c:v>4371.9534133667794</c:v>
                </c:pt>
                <c:pt idx="19">
                  <c:v>8743.9068267335588</c:v>
                </c:pt>
              </c:numCache>
            </c:numRef>
          </c:val>
          <c:smooth val="0"/>
          <c:extLst>
            <c:ext xmlns:c16="http://schemas.microsoft.com/office/drawing/2014/chart" uri="{C3380CC4-5D6E-409C-BE32-E72D297353CC}">
              <c16:uniqueId val="{00000001-EBAD-48A5-9277-83F388186C0C}"/>
            </c:ext>
          </c:extLst>
        </c:ser>
        <c:ser>
          <c:idx val="3"/>
          <c:order val="1"/>
          <c:tx>
            <c:strRef>
              <c:f>Projections!$A$142</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Projections!$L$143:$AN$143</c15:sqref>
                  </c15:fullRef>
                </c:ext>
              </c:extLst>
              <c:f>Projections!$L$143:$AE$143</c:f>
              <c:numCache>
                <c:formatCode>#,##0</c:formatCode>
                <c:ptCount val="20"/>
                <c:pt idx="0">
                  <c:v>0.26652929582512097</c:v>
                </c:pt>
                <c:pt idx="1">
                  <c:v>0.53305859165024194</c:v>
                </c:pt>
                <c:pt idx="2">
                  <c:v>1.0661171833004839</c:v>
                </c:pt>
                <c:pt idx="3">
                  <c:v>2.1322343666009678</c:v>
                </c:pt>
                <c:pt idx="4">
                  <c:v>4.2644687332019355</c:v>
                </c:pt>
                <c:pt idx="5">
                  <c:v>8.5289374664038711</c:v>
                </c:pt>
                <c:pt idx="6">
                  <c:v>17.057874932807742</c:v>
                </c:pt>
                <c:pt idx="7">
                  <c:v>34.115749865615484</c:v>
                </c:pt>
                <c:pt idx="8">
                  <c:v>68.231499731230969</c:v>
                </c:pt>
                <c:pt idx="9">
                  <c:v>136.46299946246194</c:v>
                </c:pt>
                <c:pt idx="10">
                  <c:v>272.92599892492387</c:v>
                </c:pt>
                <c:pt idx="11">
                  <c:v>545.85199784984775</c:v>
                </c:pt>
                <c:pt idx="12">
                  <c:v>1091.7039956996955</c:v>
                </c:pt>
                <c:pt idx="13">
                  <c:v>2183.407991399391</c:v>
                </c:pt>
                <c:pt idx="14">
                  <c:v>4366.815982798782</c:v>
                </c:pt>
                <c:pt idx="15">
                  <c:v>6550.2239741981721</c:v>
                </c:pt>
                <c:pt idx="16">
                  <c:v>7641.9279698978671</c:v>
                </c:pt>
                <c:pt idx="17">
                  <c:v>8209.6140476617093</c:v>
                </c:pt>
                <c:pt idx="18">
                  <c:v>8733.631965597564</c:v>
                </c:pt>
                <c:pt idx="19">
                  <c:v>17467.263931195128</c:v>
                </c:pt>
              </c:numCache>
            </c:numRef>
          </c:val>
          <c:smooth val="0"/>
          <c:extLst>
            <c:ext xmlns:c16="http://schemas.microsoft.com/office/drawing/2014/chart" uri="{C3380CC4-5D6E-409C-BE32-E72D297353CC}">
              <c16:uniqueId val="{00000003-EBAD-48A5-9277-83F388186C0C}"/>
            </c:ext>
          </c:extLst>
        </c:ser>
        <c:ser>
          <c:idx val="5"/>
          <c:order val="2"/>
          <c:tx>
            <c:strRef>
              <c:f>Projections!$A$144</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Projections!$L$145:$AN$145</c15:sqref>
                  </c15:fullRef>
                </c:ext>
              </c:extLst>
              <c:f>Projections!$L$145:$AE$145</c:f>
              <c:numCache>
                <c:formatCode>#,##0</c:formatCode>
                <c:ptCount val="20"/>
                <c:pt idx="0">
                  <c:v>0.18827271098369466</c:v>
                </c:pt>
                <c:pt idx="1">
                  <c:v>0.37654542196738933</c:v>
                </c:pt>
                <c:pt idx="2">
                  <c:v>0.75309084393477865</c:v>
                </c:pt>
                <c:pt idx="3">
                  <c:v>1.5061816878695573</c:v>
                </c:pt>
                <c:pt idx="4">
                  <c:v>3.0123633757391146</c:v>
                </c:pt>
                <c:pt idx="5">
                  <c:v>6.0247267514782292</c:v>
                </c:pt>
                <c:pt idx="6">
                  <c:v>12.049453502956458</c:v>
                </c:pt>
                <c:pt idx="7">
                  <c:v>24.098907005912917</c:v>
                </c:pt>
                <c:pt idx="8">
                  <c:v>48.197814011825834</c:v>
                </c:pt>
                <c:pt idx="9">
                  <c:v>96.395628023651668</c:v>
                </c:pt>
                <c:pt idx="10">
                  <c:v>192.79125604730334</c:v>
                </c:pt>
                <c:pt idx="11">
                  <c:v>385.58251209460667</c:v>
                </c:pt>
                <c:pt idx="12">
                  <c:v>771.16502418921334</c:v>
                </c:pt>
                <c:pt idx="13">
                  <c:v>1542.3300483784267</c:v>
                </c:pt>
                <c:pt idx="14">
                  <c:v>3084.6600967568534</c:v>
                </c:pt>
                <c:pt idx="15">
                  <c:v>4626.9901451352798</c:v>
                </c:pt>
                <c:pt idx="16">
                  <c:v>5398.1551693244928</c:v>
                </c:pt>
                <c:pt idx="17">
                  <c:v>5799.1609819028845</c:v>
                </c:pt>
                <c:pt idx="18">
                  <c:v>6169.3201935137067</c:v>
                </c:pt>
                <c:pt idx="19">
                  <c:v>12338.640387027413</c:v>
                </c:pt>
              </c:numCache>
            </c:numRef>
          </c:val>
          <c:smooth val="0"/>
          <c:extLst>
            <c:ext xmlns:c16="http://schemas.microsoft.com/office/drawing/2014/chart" uri="{C3380CC4-5D6E-409C-BE32-E72D297353CC}">
              <c16:uniqueId val="{00000005-EBAD-48A5-9277-83F388186C0C}"/>
            </c:ext>
          </c:extLst>
        </c:ser>
        <c:ser>
          <c:idx val="7"/>
          <c:order val="3"/>
          <c:tx>
            <c:strRef>
              <c:f>Projections!$A$146</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Projections!$L$147:$AN$147</c15:sqref>
                  </c15:fullRef>
                </c:ext>
              </c:extLst>
              <c:f>Projections!$L$147:$AE$147</c:f>
              <c:numCache>
                <c:formatCode>#,##0</c:formatCode>
                <c:ptCount val="20"/>
                <c:pt idx="0">
                  <c:v>6.3110329690019701E-2</c:v>
                </c:pt>
                <c:pt idx="1">
                  <c:v>0.1262206593800394</c:v>
                </c:pt>
                <c:pt idx="2">
                  <c:v>0.2524413187600788</c:v>
                </c:pt>
                <c:pt idx="3">
                  <c:v>0.50488263752015761</c:v>
                </c:pt>
                <c:pt idx="4">
                  <c:v>1.0097652750403152</c:v>
                </c:pt>
                <c:pt idx="5">
                  <c:v>2.0195305500806304</c:v>
                </c:pt>
                <c:pt idx="6">
                  <c:v>4.0390611001612609</c:v>
                </c:pt>
                <c:pt idx="7">
                  <c:v>8.0781222003225217</c:v>
                </c:pt>
                <c:pt idx="8">
                  <c:v>16.156244400645043</c:v>
                </c:pt>
                <c:pt idx="9">
                  <c:v>32.312488801290087</c:v>
                </c:pt>
                <c:pt idx="10">
                  <c:v>64.624977602580174</c:v>
                </c:pt>
                <c:pt idx="11">
                  <c:v>129.24995520516035</c:v>
                </c:pt>
                <c:pt idx="12">
                  <c:v>258.49991041032069</c:v>
                </c:pt>
                <c:pt idx="13">
                  <c:v>516.99982082064139</c:v>
                </c:pt>
                <c:pt idx="14">
                  <c:v>1033.9996416412828</c:v>
                </c:pt>
                <c:pt idx="15">
                  <c:v>1550.9994624619244</c:v>
                </c:pt>
                <c:pt idx="16">
                  <c:v>1809.4993728722452</c:v>
                </c:pt>
                <c:pt idx="17">
                  <c:v>1943.9193262856118</c:v>
                </c:pt>
                <c:pt idx="18">
                  <c:v>2067.9992832825656</c:v>
                </c:pt>
                <c:pt idx="19">
                  <c:v>4135.9985665651311</c:v>
                </c:pt>
              </c:numCache>
            </c:numRef>
          </c:val>
          <c:smooth val="0"/>
          <c:extLst>
            <c:ext xmlns:c16="http://schemas.microsoft.com/office/drawing/2014/chart" uri="{C3380CC4-5D6E-409C-BE32-E72D297353CC}">
              <c16:uniqueId val="{00000007-EBAD-48A5-9277-83F388186C0C}"/>
            </c:ext>
          </c:extLst>
        </c:ser>
        <c:ser>
          <c:idx val="9"/>
          <c:order val="4"/>
          <c:tx>
            <c:strRef>
              <c:f>Projections!$A$148</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Projections!$L$149:$AN$149</c15:sqref>
                  </c15:fullRef>
                </c:ext>
              </c:extLst>
              <c:f>Projections!$L$149:$AE$149</c:f>
              <c:numCache>
                <c:formatCode>#,##0</c:formatCode>
                <c:ptCount val="20"/>
                <c:pt idx="0">
                  <c:v>1.6215731947679626E-2</c:v>
                </c:pt>
                <c:pt idx="1">
                  <c:v>3.2431463895359253E-2</c:v>
                </c:pt>
                <c:pt idx="2">
                  <c:v>6.4862927790718505E-2</c:v>
                </c:pt>
                <c:pt idx="3">
                  <c:v>0.12972585558143701</c:v>
                </c:pt>
                <c:pt idx="4">
                  <c:v>0.25945171116287402</c:v>
                </c:pt>
                <c:pt idx="5">
                  <c:v>0.51890342232574804</c:v>
                </c:pt>
                <c:pt idx="6">
                  <c:v>1.0378068446514961</c:v>
                </c:pt>
                <c:pt idx="7">
                  <c:v>2.0756136893029922</c:v>
                </c:pt>
                <c:pt idx="8">
                  <c:v>4.1512273786059843</c:v>
                </c:pt>
                <c:pt idx="9">
                  <c:v>8.3024547572119687</c:v>
                </c:pt>
                <c:pt idx="10">
                  <c:v>16.604909514423937</c:v>
                </c:pt>
                <c:pt idx="11">
                  <c:v>33.209819028847875</c:v>
                </c:pt>
                <c:pt idx="12">
                  <c:v>66.419638057695749</c:v>
                </c:pt>
                <c:pt idx="13">
                  <c:v>132.8392761153915</c:v>
                </c:pt>
                <c:pt idx="14">
                  <c:v>265.678552230783</c:v>
                </c:pt>
                <c:pt idx="15">
                  <c:v>398.5178283461745</c:v>
                </c:pt>
                <c:pt idx="16">
                  <c:v>464.93746640387025</c:v>
                </c:pt>
                <c:pt idx="17">
                  <c:v>499.47567819387206</c:v>
                </c:pt>
                <c:pt idx="18">
                  <c:v>531.357104461566</c:v>
                </c:pt>
                <c:pt idx="19">
                  <c:v>1062.714208923132</c:v>
                </c:pt>
              </c:numCache>
            </c:numRef>
          </c:val>
          <c:smooth val="0"/>
          <c:extLst>
            <c:ext xmlns:c16="http://schemas.microsoft.com/office/drawing/2014/chart" uri="{C3380CC4-5D6E-409C-BE32-E72D297353CC}">
              <c16:uniqueId val="{00000009-EBAD-48A5-9277-83F388186C0C}"/>
            </c:ext>
          </c:extLst>
        </c:ser>
        <c:ser>
          <c:idx val="11"/>
          <c:order val="5"/>
          <c:tx>
            <c:strRef>
              <c:f>Projections!$A$150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Projections!$L$151:$AN$151</c15:sqref>
                  </c15:fullRef>
                </c:ext>
              </c:extLst>
              <c:f>Projections!$L$151:$AE$151</c:f>
              <c:numCache>
                <c:formatCode>#,##0</c:formatCode>
                <c:ptCount val="20"/>
                <c:pt idx="0">
                  <c:v>9.8324672997670663E-3</c:v>
                </c:pt>
                <c:pt idx="1">
                  <c:v>1.9664934599534133E-2</c:v>
                </c:pt>
                <c:pt idx="2">
                  <c:v>3.9329869199068265E-2</c:v>
                </c:pt>
                <c:pt idx="3">
                  <c:v>7.8659738398136531E-2</c:v>
                </c:pt>
                <c:pt idx="4">
                  <c:v>0.15731947679627306</c:v>
                </c:pt>
                <c:pt idx="5">
                  <c:v>0.31463895359254612</c:v>
                </c:pt>
                <c:pt idx="6">
                  <c:v>0.62927790718509224</c:v>
                </c:pt>
                <c:pt idx="7">
                  <c:v>1.2585558143701845</c:v>
                </c:pt>
                <c:pt idx="8">
                  <c:v>2.517111628740369</c:v>
                </c:pt>
                <c:pt idx="9">
                  <c:v>5.034223257480738</c:v>
                </c:pt>
                <c:pt idx="10">
                  <c:v>10.068446514961476</c:v>
                </c:pt>
                <c:pt idx="11">
                  <c:v>20.136893029922952</c:v>
                </c:pt>
                <c:pt idx="12">
                  <c:v>40.273786059845904</c:v>
                </c:pt>
                <c:pt idx="13">
                  <c:v>80.547572119691807</c:v>
                </c:pt>
                <c:pt idx="14">
                  <c:v>161.09514423938361</c:v>
                </c:pt>
                <c:pt idx="15">
                  <c:v>241.64271635907542</c:v>
                </c:pt>
                <c:pt idx="16">
                  <c:v>281.91650241892131</c:v>
                </c:pt>
                <c:pt idx="17">
                  <c:v>302.8588711700412</c:v>
                </c:pt>
                <c:pt idx="18">
                  <c:v>322.19028847876723</c:v>
                </c:pt>
                <c:pt idx="19">
                  <c:v>644.38057695753446</c:v>
                </c:pt>
              </c:numCache>
            </c:numRef>
          </c:val>
          <c:smooth val="0"/>
          <c:extLst>
            <c:ext xmlns:c16="http://schemas.microsoft.com/office/drawing/2014/chart" uri="{C3380CC4-5D6E-409C-BE32-E72D297353CC}">
              <c16:uniqueId val="{0000000B-EBAD-48A5-9277-83F388186C0C}"/>
            </c:ext>
          </c:extLst>
        </c:ser>
        <c:ser>
          <c:idx val="13"/>
          <c:order val="6"/>
          <c:tx>
            <c:strRef>
              <c:f>Projections!$A$152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Projections!$L$153:$AN$153</c15:sqref>
                  </c15:fullRef>
                </c:ext>
              </c:extLst>
              <c:f>Projections!$L$153:$AE$153</c:f>
              <c:numCache>
                <c:formatCode>#,##0</c:formatCode>
                <c:ptCount val="20"/>
                <c:pt idx="0">
                  <c:v>1.3505644149793944E-2</c:v>
                </c:pt>
                <c:pt idx="1">
                  <c:v>2.7011288299587887E-2</c:v>
                </c:pt>
                <c:pt idx="2">
                  <c:v>5.4022576599175774E-2</c:v>
                </c:pt>
                <c:pt idx="3">
                  <c:v>0.10804515319835155</c:v>
                </c:pt>
                <c:pt idx="4">
                  <c:v>0.2160903063967031</c:v>
                </c:pt>
                <c:pt idx="5">
                  <c:v>0.43218061279340619</c:v>
                </c:pt>
                <c:pt idx="6">
                  <c:v>0.86436122558681239</c:v>
                </c:pt>
                <c:pt idx="7">
                  <c:v>1.7287224511736248</c:v>
                </c:pt>
                <c:pt idx="8">
                  <c:v>3.4574449023472495</c:v>
                </c:pt>
                <c:pt idx="9">
                  <c:v>6.9148898046944991</c:v>
                </c:pt>
                <c:pt idx="10">
                  <c:v>13.829779609388998</c:v>
                </c:pt>
                <c:pt idx="11">
                  <c:v>27.659559218777996</c:v>
                </c:pt>
                <c:pt idx="12">
                  <c:v>55.319118437555993</c:v>
                </c:pt>
                <c:pt idx="13">
                  <c:v>110.63823687511199</c:v>
                </c:pt>
                <c:pt idx="14">
                  <c:v>221.27647375022397</c:v>
                </c:pt>
                <c:pt idx="15">
                  <c:v>331.914710625336</c:v>
                </c:pt>
                <c:pt idx="16">
                  <c:v>387.23382906289197</c:v>
                </c:pt>
                <c:pt idx="17">
                  <c:v>415.99977065042111</c:v>
                </c:pt>
                <c:pt idx="18">
                  <c:v>442.55294750044794</c:v>
                </c:pt>
                <c:pt idx="19">
                  <c:v>885.10589500089588</c:v>
                </c:pt>
              </c:numCache>
            </c:numRef>
          </c:val>
          <c:smooth val="0"/>
          <c:extLst>
            <c:ext xmlns:c16="http://schemas.microsoft.com/office/drawing/2014/chart" uri="{C3380CC4-5D6E-409C-BE32-E72D297353CC}">
              <c16:uniqueId val="{0000000D-EBAD-48A5-9277-83F388186C0C}"/>
            </c:ext>
          </c:extLst>
        </c:ser>
        <c:ser>
          <c:idx val="15"/>
          <c:order val="7"/>
          <c:tx>
            <c:strRef>
              <c:f>Projections!$A$154</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Projections!$L$155:$AN$155</c15:sqref>
                  </c15:fullRef>
                </c:ext>
              </c:extLst>
              <c:f>Projections!$L$155:$AE$155</c:f>
              <c:numCache>
                <c:formatCode>#,##0</c:formatCode>
                <c:ptCount val="20"/>
                <c:pt idx="0">
                  <c:v>1.8029922952875828E-3</c:v>
                </c:pt>
                <c:pt idx="1">
                  <c:v>3.6059845905751656E-3</c:v>
                </c:pt>
                <c:pt idx="2">
                  <c:v>7.2119691811503312E-3</c:v>
                </c:pt>
                <c:pt idx="3">
                  <c:v>1.4423938362300662E-2</c:v>
                </c:pt>
                <c:pt idx="4">
                  <c:v>2.8847876724601325E-2</c:v>
                </c:pt>
                <c:pt idx="5">
                  <c:v>5.769575344920265E-2</c:v>
                </c:pt>
                <c:pt idx="6">
                  <c:v>0.1153915068984053</c:v>
                </c:pt>
                <c:pt idx="7">
                  <c:v>0.2307830137968106</c:v>
                </c:pt>
                <c:pt idx="8">
                  <c:v>0.4615660275936212</c:v>
                </c:pt>
                <c:pt idx="9">
                  <c:v>0.9231320551872424</c:v>
                </c:pt>
                <c:pt idx="10">
                  <c:v>1.8462641103744848</c:v>
                </c:pt>
                <c:pt idx="11">
                  <c:v>3.6925282207489696</c:v>
                </c:pt>
                <c:pt idx="12">
                  <c:v>7.3850564414979392</c:v>
                </c:pt>
                <c:pt idx="13">
                  <c:v>14.770112882995878</c:v>
                </c:pt>
                <c:pt idx="14">
                  <c:v>29.540225765991757</c:v>
                </c:pt>
                <c:pt idx="15">
                  <c:v>44.310338648987639</c:v>
                </c:pt>
                <c:pt idx="16">
                  <c:v>51.695395090485576</c:v>
                </c:pt>
                <c:pt idx="17">
                  <c:v>55.535624440064502</c:v>
                </c:pt>
                <c:pt idx="18">
                  <c:v>59.080451531983513</c:v>
                </c:pt>
                <c:pt idx="19">
                  <c:v>118.16090306396703</c:v>
                </c:pt>
              </c:numCache>
            </c:numRef>
          </c:val>
          <c:smooth val="0"/>
          <c:extLst>
            <c:ext xmlns:c16="http://schemas.microsoft.com/office/drawing/2014/chart" uri="{C3380CC4-5D6E-409C-BE32-E72D297353CC}">
              <c16:uniqueId val="{0000000F-EBAD-48A5-9277-83F388186C0C}"/>
            </c:ext>
          </c:extLst>
        </c:ser>
        <c:ser>
          <c:idx val="17"/>
          <c:order val="8"/>
          <c:tx>
            <c:strRef>
              <c:f>Projections!$A$156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Projections!$L$157:$AN$157</c15:sqref>
                  </c15:fullRef>
                </c:ext>
              </c:extLst>
              <c:f>Projections!$L$157:$AE$157</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Projections!$A$169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Projections!$L$169:$AN$169</c15:sqref>
                  </c15:fullRef>
                </c:ext>
              </c:extLst>
              <c:f>Projections!$L$169:$AE$169</c:f>
              <c:numCache>
                <c:formatCode>#,##0</c:formatCode>
                <c:ptCount val="20"/>
                <c:pt idx="0">
                  <c:v>14.375</c:v>
                </c:pt>
                <c:pt idx="1">
                  <c:v>28.75</c:v>
                </c:pt>
                <c:pt idx="2">
                  <c:v>57.5</c:v>
                </c:pt>
                <c:pt idx="3">
                  <c:v>115</c:v>
                </c:pt>
                <c:pt idx="4">
                  <c:v>230</c:v>
                </c:pt>
                <c:pt idx="5">
                  <c:v>460</c:v>
                </c:pt>
                <c:pt idx="6">
                  <c:v>920</c:v>
                </c:pt>
                <c:pt idx="7">
                  <c:v>1840</c:v>
                </c:pt>
                <c:pt idx="8">
                  <c:v>3680</c:v>
                </c:pt>
                <c:pt idx="9">
                  <c:v>7360</c:v>
                </c:pt>
                <c:pt idx="10">
                  <c:v>14720</c:v>
                </c:pt>
                <c:pt idx="11">
                  <c:v>29440</c:v>
                </c:pt>
                <c:pt idx="12">
                  <c:v>58880</c:v>
                </c:pt>
                <c:pt idx="13">
                  <c:v>117760</c:v>
                </c:pt>
                <c:pt idx="14">
                  <c:v>235520</c:v>
                </c:pt>
                <c:pt idx="15">
                  <c:v>353280</c:v>
                </c:pt>
                <c:pt idx="16">
                  <c:v>412160</c:v>
                </c:pt>
                <c:pt idx="17">
                  <c:v>442777.60000000003</c:v>
                </c:pt>
                <c:pt idx="18">
                  <c:v>471040</c:v>
                </c:pt>
                <c:pt idx="19">
                  <c:v>942080</c:v>
                </c:pt>
              </c:numCache>
            </c:numRef>
          </c:val>
          <c:smooth val="0"/>
          <c:extLst>
            <c:ext xmlns:c16="http://schemas.microsoft.com/office/drawing/2014/chart" uri="{C3380CC4-5D6E-409C-BE32-E72D297353CC}">
              <c16:uniqueId val="{0000001E-05DD-4DD4-A5B5-12D162507280}"/>
            </c:ext>
          </c:extLst>
        </c:ser>
        <c:ser>
          <c:idx val="4"/>
          <c:order val="1"/>
          <c:tx>
            <c:strRef>
              <c:f>Projections!$A$167</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Projections!$L$167:$AN$167</c15:sqref>
                  </c15:fullRef>
                </c:ext>
              </c:extLst>
              <c:f>Projections!$L$167:$AE$167</c:f>
              <c:numCache>
                <c:formatCode>#,##0</c:formatCode>
                <c:ptCount val="20"/>
                <c:pt idx="0">
                  <c:v>4.1875</c:v>
                </c:pt>
                <c:pt idx="1">
                  <c:v>8.375</c:v>
                </c:pt>
                <c:pt idx="2">
                  <c:v>16.75</c:v>
                </c:pt>
                <c:pt idx="3">
                  <c:v>33.5</c:v>
                </c:pt>
                <c:pt idx="4">
                  <c:v>67</c:v>
                </c:pt>
                <c:pt idx="5">
                  <c:v>134</c:v>
                </c:pt>
                <c:pt idx="6">
                  <c:v>268</c:v>
                </c:pt>
                <c:pt idx="7">
                  <c:v>536</c:v>
                </c:pt>
                <c:pt idx="8">
                  <c:v>1072</c:v>
                </c:pt>
                <c:pt idx="9">
                  <c:v>2144</c:v>
                </c:pt>
                <c:pt idx="10">
                  <c:v>4288</c:v>
                </c:pt>
                <c:pt idx="11">
                  <c:v>8576</c:v>
                </c:pt>
                <c:pt idx="12">
                  <c:v>17152</c:v>
                </c:pt>
                <c:pt idx="13">
                  <c:v>34304</c:v>
                </c:pt>
                <c:pt idx="14">
                  <c:v>68608</c:v>
                </c:pt>
                <c:pt idx="15">
                  <c:v>102912</c:v>
                </c:pt>
                <c:pt idx="16">
                  <c:v>120064</c:v>
                </c:pt>
                <c:pt idx="17">
                  <c:v>128983.04000000001</c:v>
                </c:pt>
                <c:pt idx="18">
                  <c:v>137216</c:v>
                </c:pt>
                <c:pt idx="19">
                  <c:v>274432</c:v>
                </c:pt>
              </c:numCache>
            </c:numRef>
          </c:val>
          <c:smooth val="0"/>
          <c:extLst>
            <c:ext xmlns:c16="http://schemas.microsoft.com/office/drawing/2014/chart" uri="{C3380CC4-5D6E-409C-BE32-E72D297353CC}">
              <c16:uniqueId val="{0000001C-05DD-4DD4-A5B5-12D162507280}"/>
            </c:ext>
          </c:extLst>
        </c:ser>
        <c:ser>
          <c:idx val="10"/>
          <c:order val="2"/>
          <c:tx>
            <c:strRef>
              <c:f>Projections!$A$173</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Projections!$L$173:$AN$173</c15:sqref>
                  </c15:fullRef>
                </c:ext>
              </c:extLst>
              <c:f>Projections!$L$173:$AE$173</c:f>
              <c:numCache>
                <c:formatCode>#,##0</c:formatCode>
                <c:ptCount val="20"/>
                <c:pt idx="0">
                  <c:v>4.84375</c:v>
                </c:pt>
                <c:pt idx="1">
                  <c:v>9.6875</c:v>
                </c:pt>
                <c:pt idx="2">
                  <c:v>19.375</c:v>
                </c:pt>
                <c:pt idx="3">
                  <c:v>38.75</c:v>
                </c:pt>
                <c:pt idx="4">
                  <c:v>77.5</c:v>
                </c:pt>
                <c:pt idx="5">
                  <c:v>155</c:v>
                </c:pt>
                <c:pt idx="6">
                  <c:v>310</c:v>
                </c:pt>
                <c:pt idx="7">
                  <c:v>620</c:v>
                </c:pt>
                <c:pt idx="8">
                  <c:v>1240</c:v>
                </c:pt>
                <c:pt idx="9">
                  <c:v>2480</c:v>
                </c:pt>
                <c:pt idx="10">
                  <c:v>4960</c:v>
                </c:pt>
                <c:pt idx="11">
                  <c:v>9920</c:v>
                </c:pt>
                <c:pt idx="12">
                  <c:v>19840</c:v>
                </c:pt>
                <c:pt idx="13">
                  <c:v>39680</c:v>
                </c:pt>
                <c:pt idx="14">
                  <c:v>79360</c:v>
                </c:pt>
                <c:pt idx="15">
                  <c:v>119040</c:v>
                </c:pt>
                <c:pt idx="16">
                  <c:v>138880</c:v>
                </c:pt>
                <c:pt idx="17">
                  <c:v>149196.79999999999</c:v>
                </c:pt>
                <c:pt idx="18">
                  <c:v>158720</c:v>
                </c:pt>
                <c:pt idx="19">
                  <c:v>317440</c:v>
                </c:pt>
              </c:numCache>
            </c:numRef>
          </c:val>
          <c:smooth val="0"/>
          <c:extLst>
            <c:ext xmlns:c16="http://schemas.microsoft.com/office/drawing/2014/chart" uri="{C3380CC4-5D6E-409C-BE32-E72D297353CC}">
              <c16:uniqueId val="{00000022-05DD-4DD4-A5B5-12D162507280}"/>
            </c:ext>
          </c:extLst>
        </c:ser>
        <c:ser>
          <c:idx val="0"/>
          <c:order val="3"/>
          <c:tx>
            <c:strRef>
              <c:f>Projections!$A$163</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Projections!$L$163:$AN$163</c15:sqref>
                  </c15:fullRef>
                </c:ext>
              </c:extLst>
              <c:f>Projections!$L$163:$AE$163</c:f>
              <c:numCache>
                <c:formatCode>#,##0</c:formatCode>
                <c:ptCount val="20"/>
                <c:pt idx="0">
                  <c:v>11.5</c:v>
                </c:pt>
                <c:pt idx="1">
                  <c:v>23</c:v>
                </c:pt>
                <c:pt idx="2">
                  <c:v>46</c:v>
                </c:pt>
                <c:pt idx="3">
                  <c:v>92</c:v>
                </c:pt>
                <c:pt idx="4">
                  <c:v>184</c:v>
                </c:pt>
                <c:pt idx="5">
                  <c:v>368</c:v>
                </c:pt>
                <c:pt idx="6">
                  <c:v>736</c:v>
                </c:pt>
                <c:pt idx="7">
                  <c:v>1472</c:v>
                </c:pt>
                <c:pt idx="8">
                  <c:v>2944</c:v>
                </c:pt>
                <c:pt idx="9">
                  <c:v>5888</c:v>
                </c:pt>
                <c:pt idx="10">
                  <c:v>11776</c:v>
                </c:pt>
                <c:pt idx="11">
                  <c:v>23552</c:v>
                </c:pt>
                <c:pt idx="12">
                  <c:v>47104</c:v>
                </c:pt>
                <c:pt idx="13">
                  <c:v>94208</c:v>
                </c:pt>
                <c:pt idx="14">
                  <c:v>188416</c:v>
                </c:pt>
                <c:pt idx="15">
                  <c:v>282624</c:v>
                </c:pt>
                <c:pt idx="16">
                  <c:v>329728</c:v>
                </c:pt>
                <c:pt idx="17">
                  <c:v>354222.08000000002</c:v>
                </c:pt>
                <c:pt idx="18">
                  <c:v>376832</c:v>
                </c:pt>
                <c:pt idx="19">
                  <c:v>753664</c:v>
                </c:pt>
              </c:numCache>
            </c:numRef>
          </c:val>
          <c:smooth val="0"/>
          <c:extLst>
            <c:ext xmlns:c16="http://schemas.microsoft.com/office/drawing/2014/chart" uri="{C3380CC4-5D6E-409C-BE32-E72D297353CC}">
              <c16:uniqueId val="{00000018-05DD-4DD4-A5B5-12D162507280}"/>
            </c:ext>
          </c:extLst>
        </c:ser>
        <c:ser>
          <c:idx val="2"/>
          <c:order val="4"/>
          <c:tx>
            <c:strRef>
              <c:f>Projections!$A$165</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Projections!$L$165:$AN$165</c15:sqref>
                  </c15:fullRef>
                </c:ext>
              </c:extLst>
              <c:f>Projections!$L$165:$AE$165</c:f>
              <c:numCache>
                <c:formatCode>#,##0</c:formatCode>
                <c:ptCount val="20"/>
                <c:pt idx="0">
                  <c:v>3.0625</c:v>
                </c:pt>
                <c:pt idx="1">
                  <c:v>6.125</c:v>
                </c:pt>
                <c:pt idx="2">
                  <c:v>12.25</c:v>
                </c:pt>
                <c:pt idx="3">
                  <c:v>24.5</c:v>
                </c:pt>
                <c:pt idx="4">
                  <c:v>49</c:v>
                </c:pt>
                <c:pt idx="5">
                  <c:v>98</c:v>
                </c:pt>
                <c:pt idx="6">
                  <c:v>196</c:v>
                </c:pt>
                <c:pt idx="7">
                  <c:v>392</c:v>
                </c:pt>
                <c:pt idx="8">
                  <c:v>784</c:v>
                </c:pt>
                <c:pt idx="9">
                  <c:v>1568</c:v>
                </c:pt>
                <c:pt idx="10">
                  <c:v>3136</c:v>
                </c:pt>
                <c:pt idx="11">
                  <c:v>6272</c:v>
                </c:pt>
                <c:pt idx="12">
                  <c:v>12544</c:v>
                </c:pt>
                <c:pt idx="13">
                  <c:v>25088</c:v>
                </c:pt>
                <c:pt idx="14">
                  <c:v>50176</c:v>
                </c:pt>
                <c:pt idx="15">
                  <c:v>75264</c:v>
                </c:pt>
                <c:pt idx="16">
                  <c:v>87808</c:v>
                </c:pt>
                <c:pt idx="17">
                  <c:v>94330.880000000005</c:v>
                </c:pt>
                <c:pt idx="18">
                  <c:v>100352</c:v>
                </c:pt>
                <c:pt idx="19">
                  <c:v>200704</c:v>
                </c:pt>
              </c:numCache>
            </c:numRef>
          </c:val>
          <c:smooth val="0"/>
          <c:extLst>
            <c:ext xmlns:c16="http://schemas.microsoft.com/office/drawing/2014/chart" uri="{C3380CC4-5D6E-409C-BE32-E72D297353CC}">
              <c16:uniqueId val="{0000001A-05DD-4DD4-A5B5-12D162507280}"/>
            </c:ext>
          </c:extLst>
        </c:ser>
        <c:ser>
          <c:idx val="8"/>
          <c:order val="5"/>
          <c:tx>
            <c:strRef>
              <c:f>Projections!$A$171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Projections!$L$171:$AN$171</c15:sqref>
                  </c15:fullRef>
                </c:ext>
              </c:extLst>
              <c:f>Projections!$L$171:$AE$171</c:f>
              <c:numCache>
                <c:formatCode>#,##0</c:formatCode>
                <c:ptCount val="20"/>
                <c:pt idx="0">
                  <c:v>0.13718749999999999</c:v>
                </c:pt>
                <c:pt idx="1">
                  <c:v>0.27437499999999998</c:v>
                </c:pt>
                <c:pt idx="2">
                  <c:v>0.54874999999999996</c:v>
                </c:pt>
                <c:pt idx="3">
                  <c:v>1.0974999999999999</c:v>
                </c:pt>
                <c:pt idx="4">
                  <c:v>2.1949999999999998</c:v>
                </c:pt>
                <c:pt idx="5">
                  <c:v>4.3899999999999997</c:v>
                </c:pt>
                <c:pt idx="6">
                  <c:v>8.7799999999999994</c:v>
                </c:pt>
                <c:pt idx="7">
                  <c:v>17.559999999999999</c:v>
                </c:pt>
                <c:pt idx="8">
                  <c:v>35.119999999999997</c:v>
                </c:pt>
                <c:pt idx="9">
                  <c:v>70.239999999999995</c:v>
                </c:pt>
                <c:pt idx="10">
                  <c:v>140.47999999999999</c:v>
                </c:pt>
                <c:pt idx="11">
                  <c:v>280.95999999999998</c:v>
                </c:pt>
                <c:pt idx="12">
                  <c:v>561.91999999999996</c:v>
                </c:pt>
                <c:pt idx="13">
                  <c:v>1123.8399999999999</c:v>
                </c:pt>
                <c:pt idx="14">
                  <c:v>2247.6799999999998</c:v>
                </c:pt>
                <c:pt idx="15">
                  <c:v>3371.52</c:v>
                </c:pt>
                <c:pt idx="16">
                  <c:v>3933.4399999999996</c:v>
                </c:pt>
                <c:pt idx="17">
                  <c:v>4225.6383999999998</c:v>
                </c:pt>
                <c:pt idx="18">
                  <c:v>4495.3599999999997</c:v>
                </c:pt>
                <c:pt idx="19">
                  <c:v>8990.7199999999993</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Projections!$A$169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Projections!$L$170:$AN$170</c15:sqref>
                  </c15:fullRef>
                </c:ext>
              </c:extLst>
              <c:f>Projections!$L$170:$AE$170</c:f>
              <c:numCache>
                <c:formatCode>#,##0</c:formatCode>
                <c:ptCount val="20"/>
                <c:pt idx="0">
                  <c:v>0.86249999999999993</c:v>
                </c:pt>
                <c:pt idx="1">
                  <c:v>1.7249999999999999</c:v>
                </c:pt>
                <c:pt idx="2">
                  <c:v>3.4499999999999997</c:v>
                </c:pt>
                <c:pt idx="3">
                  <c:v>6.8999999999999995</c:v>
                </c:pt>
                <c:pt idx="4">
                  <c:v>13.799999999999999</c:v>
                </c:pt>
                <c:pt idx="5">
                  <c:v>27.599999999999998</c:v>
                </c:pt>
                <c:pt idx="6">
                  <c:v>55.199999999999996</c:v>
                </c:pt>
                <c:pt idx="7">
                  <c:v>110.39999999999999</c:v>
                </c:pt>
                <c:pt idx="8">
                  <c:v>220.79999999999998</c:v>
                </c:pt>
                <c:pt idx="9">
                  <c:v>441.59999999999997</c:v>
                </c:pt>
                <c:pt idx="10">
                  <c:v>883.19999999999993</c:v>
                </c:pt>
                <c:pt idx="11">
                  <c:v>1766.3999999999999</c:v>
                </c:pt>
                <c:pt idx="12">
                  <c:v>3532.7999999999997</c:v>
                </c:pt>
                <c:pt idx="13">
                  <c:v>7065.5999999999995</c:v>
                </c:pt>
                <c:pt idx="14">
                  <c:v>14131.199999999999</c:v>
                </c:pt>
                <c:pt idx="15">
                  <c:v>21196.799999999999</c:v>
                </c:pt>
                <c:pt idx="16">
                  <c:v>24729.599999999999</c:v>
                </c:pt>
                <c:pt idx="17">
                  <c:v>26566.656000000003</c:v>
                </c:pt>
                <c:pt idx="18">
                  <c:v>28262.399999999998</c:v>
                </c:pt>
                <c:pt idx="19">
                  <c:v>56524.799999999996</c:v>
                </c:pt>
              </c:numCache>
            </c:numRef>
          </c:val>
          <c:smooth val="0"/>
          <c:extLst>
            <c:ext xmlns:c16="http://schemas.microsoft.com/office/drawing/2014/chart" uri="{C3380CC4-5D6E-409C-BE32-E72D297353CC}">
              <c16:uniqueId val="{00000007-65B4-47F9-9B97-64FB989C8893}"/>
            </c:ext>
          </c:extLst>
        </c:ser>
        <c:ser>
          <c:idx val="5"/>
          <c:order val="1"/>
          <c:tx>
            <c:strRef>
              <c:f>Projections!$A$167</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Projections!$L$168:$AN$168</c15:sqref>
                  </c15:fullRef>
                </c:ext>
              </c:extLst>
              <c:f>Projections!$L$168:$AE$168</c:f>
              <c:numCache>
                <c:formatCode>#,##0</c:formatCode>
                <c:ptCount val="20"/>
                <c:pt idx="0">
                  <c:v>0.26381250000000001</c:v>
                </c:pt>
                <c:pt idx="1">
                  <c:v>0.52762500000000001</c:v>
                </c:pt>
                <c:pt idx="2">
                  <c:v>1.05525</c:v>
                </c:pt>
                <c:pt idx="3">
                  <c:v>2.1105</c:v>
                </c:pt>
                <c:pt idx="4">
                  <c:v>4.2210000000000001</c:v>
                </c:pt>
                <c:pt idx="5">
                  <c:v>8.4420000000000002</c:v>
                </c:pt>
                <c:pt idx="6">
                  <c:v>16.884</c:v>
                </c:pt>
                <c:pt idx="7">
                  <c:v>33.768000000000001</c:v>
                </c:pt>
                <c:pt idx="8">
                  <c:v>67.536000000000001</c:v>
                </c:pt>
                <c:pt idx="9">
                  <c:v>135.072</c:v>
                </c:pt>
                <c:pt idx="10">
                  <c:v>270.14400000000001</c:v>
                </c:pt>
                <c:pt idx="11">
                  <c:v>540.28800000000001</c:v>
                </c:pt>
                <c:pt idx="12">
                  <c:v>1080.576</c:v>
                </c:pt>
                <c:pt idx="13">
                  <c:v>2161.152</c:v>
                </c:pt>
                <c:pt idx="14">
                  <c:v>4322.3040000000001</c:v>
                </c:pt>
                <c:pt idx="15">
                  <c:v>6483.4560000000001</c:v>
                </c:pt>
                <c:pt idx="16">
                  <c:v>7564.0320000000002</c:v>
                </c:pt>
                <c:pt idx="17">
                  <c:v>8125.931520000001</c:v>
                </c:pt>
                <c:pt idx="18">
                  <c:v>8644.6080000000002</c:v>
                </c:pt>
                <c:pt idx="19">
                  <c:v>17289.216</c:v>
                </c:pt>
              </c:numCache>
            </c:numRef>
          </c:val>
          <c:smooth val="0"/>
          <c:extLst>
            <c:ext xmlns:c16="http://schemas.microsoft.com/office/drawing/2014/chart" uri="{C3380CC4-5D6E-409C-BE32-E72D297353CC}">
              <c16:uniqueId val="{00000005-65B4-47F9-9B97-64FB989C8893}"/>
            </c:ext>
          </c:extLst>
        </c:ser>
        <c:ser>
          <c:idx val="1"/>
          <c:order val="2"/>
          <c:tx>
            <c:strRef>
              <c:f>Projections!$A$163</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Projections!$L$164:$AN$164</c15:sqref>
                  </c15:fullRef>
                </c:ext>
              </c:extLst>
              <c:f>Projections!$L$164:$AE$164</c:f>
              <c:numCache>
                <c:formatCode>#,##0</c:formatCode>
                <c:ptCount val="20"/>
                <c:pt idx="0">
                  <c:v>1.2075</c:v>
                </c:pt>
                <c:pt idx="1">
                  <c:v>2.415</c:v>
                </c:pt>
                <c:pt idx="2">
                  <c:v>4.83</c:v>
                </c:pt>
                <c:pt idx="3">
                  <c:v>9.66</c:v>
                </c:pt>
                <c:pt idx="4">
                  <c:v>19.32</c:v>
                </c:pt>
                <c:pt idx="5">
                  <c:v>38.64</c:v>
                </c:pt>
                <c:pt idx="6">
                  <c:v>77.28</c:v>
                </c:pt>
                <c:pt idx="7">
                  <c:v>154.56</c:v>
                </c:pt>
                <c:pt idx="8">
                  <c:v>309.12</c:v>
                </c:pt>
                <c:pt idx="9">
                  <c:v>618.24</c:v>
                </c:pt>
                <c:pt idx="10">
                  <c:v>1236.48</c:v>
                </c:pt>
                <c:pt idx="11">
                  <c:v>2472.96</c:v>
                </c:pt>
                <c:pt idx="12">
                  <c:v>4945.92</c:v>
                </c:pt>
                <c:pt idx="13">
                  <c:v>9891.84</c:v>
                </c:pt>
                <c:pt idx="14">
                  <c:v>19783.68</c:v>
                </c:pt>
                <c:pt idx="15">
                  <c:v>29675.52</c:v>
                </c:pt>
                <c:pt idx="16">
                  <c:v>34621.440000000002</c:v>
                </c:pt>
                <c:pt idx="17">
                  <c:v>37193.318400000004</c:v>
                </c:pt>
                <c:pt idx="18">
                  <c:v>39567.360000000001</c:v>
                </c:pt>
                <c:pt idx="19">
                  <c:v>79134.720000000001</c:v>
                </c:pt>
              </c:numCache>
            </c:numRef>
          </c:val>
          <c:smooth val="0"/>
          <c:extLst>
            <c:ext xmlns:c16="http://schemas.microsoft.com/office/drawing/2014/chart" uri="{C3380CC4-5D6E-409C-BE32-E72D297353CC}">
              <c16:uniqueId val="{00000001-65B4-47F9-9B97-64FB989C8893}"/>
            </c:ext>
          </c:extLst>
        </c:ser>
        <c:ser>
          <c:idx val="3"/>
          <c:order val="3"/>
          <c:tx>
            <c:strRef>
              <c:f>Projections!$A$165</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Projections!$L$166:$AN$166</c15:sqref>
                  </c15:fullRef>
                </c:ext>
              </c:extLst>
              <c:f>Projections!$L$166:$AE$166</c:f>
              <c:numCache>
                <c:formatCode>#,##0</c:formatCode>
                <c:ptCount val="20"/>
                <c:pt idx="0">
                  <c:v>0.2235625</c:v>
                </c:pt>
                <c:pt idx="1">
                  <c:v>0.44712499999999999</c:v>
                </c:pt>
                <c:pt idx="2">
                  <c:v>0.89424999999999999</c:v>
                </c:pt>
                <c:pt idx="3">
                  <c:v>1.7885</c:v>
                </c:pt>
                <c:pt idx="4">
                  <c:v>3.577</c:v>
                </c:pt>
                <c:pt idx="5">
                  <c:v>7.1539999999999999</c:v>
                </c:pt>
                <c:pt idx="6">
                  <c:v>14.308</c:v>
                </c:pt>
                <c:pt idx="7">
                  <c:v>28.616</c:v>
                </c:pt>
                <c:pt idx="8">
                  <c:v>57.231999999999999</c:v>
                </c:pt>
                <c:pt idx="9">
                  <c:v>114.464</c:v>
                </c:pt>
                <c:pt idx="10">
                  <c:v>228.928</c:v>
                </c:pt>
                <c:pt idx="11">
                  <c:v>457.85599999999999</c:v>
                </c:pt>
                <c:pt idx="12">
                  <c:v>915.71199999999999</c:v>
                </c:pt>
                <c:pt idx="13">
                  <c:v>1831.424</c:v>
                </c:pt>
                <c:pt idx="14">
                  <c:v>3662.848</c:v>
                </c:pt>
                <c:pt idx="15">
                  <c:v>5494.2719999999999</c:v>
                </c:pt>
                <c:pt idx="16">
                  <c:v>6409.9839999999995</c:v>
                </c:pt>
                <c:pt idx="17">
                  <c:v>6886.1542399999998</c:v>
                </c:pt>
                <c:pt idx="18">
                  <c:v>7325.6959999999999</c:v>
                </c:pt>
                <c:pt idx="19">
                  <c:v>14651.392</c:v>
                </c:pt>
              </c:numCache>
            </c:numRef>
          </c:val>
          <c:smooth val="0"/>
          <c:extLst>
            <c:ext xmlns:c16="http://schemas.microsoft.com/office/drawing/2014/chart" uri="{C3380CC4-5D6E-409C-BE32-E72D297353CC}">
              <c16:uniqueId val="{00000003-65B4-47F9-9B97-64FB989C8893}"/>
            </c:ext>
          </c:extLst>
        </c:ser>
        <c:ser>
          <c:idx val="9"/>
          <c:order val="4"/>
          <c:tx>
            <c:strRef>
              <c:f>Projections!$A$171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Projections!$L$107:$AN$107</c15:sqref>
                  </c15:fullRef>
                </c:ext>
              </c:extLst>
              <c:f>Projections!$L$107:$AE$107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43940.5</c:v>
                </c:pt>
                <c:pt idx="16">
                  <c:v>43949</c:v>
                </c:pt>
                <c:pt idx="17">
                  <c:v>43957.5</c:v>
                </c:pt>
                <c:pt idx="18">
                  <c:v>43966</c:v>
                </c:pt>
                <c:pt idx="19">
                  <c:v>44000</c:v>
                </c:pt>
              </c:numCache>
            </c:numRef>
          </c:cat>
          <c:val>
            <c:numRef>
              <c:extLst>
                <c:ext xmlns:c15="http://schemas.microsoft.com/office/drawing/2012/chart" uri="{02D57815-91ED-43cb-92C2-25804820EDAC}">
                  <c15:fullRef>
                    <c15:sqref>Projections!$L$172:$AN$172</c15:sqref>
                  </c15:fullRef>
                </c:ext>
              </c:extLst>
              <c:f>Projections!$L$172:$AE$172</c:f>
              <c:numCache>
                <c:formatCode>#,##0</c:formatCode>
                <c:ptCount val="20"/>
                <c:pt idx="0">
                  <c:v>7.6824999999999992E-3</c:v>
                </c:pt>
                <c:pt idx="1">
                  <c:v>1.5364999999999998E-2</c:v>
                </c:pt>
                <c:pt idx="2">
                  <c:v>3.0729999999999997E-2</c:v>
                </c:pt>
                <c:pt idx="3">
                  <c:v>6.1459999999999994E-2</c:v>
                </c:pt>
                <c:pt idx="4">
                  <c:v>0.12291999999999999</c:v>
                </c:pt>
                <c:pt idx="5">
                  <c:v>0.24583999999999998</c:v>
                </c:pt>
                <c:pt idx="6">
                  <c:v>0.49167999999999995</c:v>
                </c:pt>
                <c:pt idx="7">
                  <c:v>0.9833599999999999</c:v>
                </c:pt>
                <c:pt idx="8">
                  <c:v>1.9667199999999998</c:v>
                </c:pt>
                <c:pt idx="9">
                  <c:v>3.9334399999999996</c:v>
                </c:pt>
                <c:pt idx="10">
                  <c:v>7.8668799999999992</c:v>
                </c:pt>
                <c:pt idx="11">
                  <c:v>15.733759999999998</c:v>
                </c:pt>
                <c:pt idx="12">
                  <c:v>31.467519999999997</c:v>
                </c:pt>
                <c:pt idx="13">
                  <c:v>62.935039999999994</c:v>
                </c:pt>
                <c:pt idx="14">
                  <c:v>125.87007999999999</c:v>
                </c:pt>
                <c:pt idx="15">
                  <c:v>188.80512000000002</c:v>
                </c:pt>
                <c:pt idx="16">
                  <c:v>220.27264</c:v>
                </c:pt>
                <c:pt idx="17">
                  <c:v>236.63575040000001</c:v>
                </c:pt>
                <c:pt idx="18">
                  <c:v>251.74015999999997</c:v>
                </c:pt>
                <c:pt idx="19">
                  <c:v>503.48031999999995</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42</xdr:col>
      <xdr:colOff>9526</xdr:colOff>
      <xdr:row>93</xdr:row>
      <xdr:rowOff>180975</xdr:rowOff>
    </xdr:from>
    <xdr:to>
      <xdr:col>53</xdr:col>
      <xdr:colOff>600075</xdr:colOff>
      <xdr:row>121</xdr:row>
      <xdr:rowOff>180975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41</xdr:col>
      <xdr:colOff>736455</xdr:colOff>
      <xdr:row>166</xdr:row>
      <xdr:rowOff>5814</xdr:rowOff>
    </xdr:from>
    <xdr:to>
      <xdr:col>54</xdr:col>
      <xdr:colOff>19050</xdr:colOff>
      <xdr:row>189</xdr:row>
      <xdr:rowOff>15339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42</xdr:col>
      <xdr:colOff>3031</xdr:colOff>
      <xdr:row>190</xdr:row>
      <xdr:rowOff>10576</xdr:rowOff>
    </xdr:from>
    <xdr:to>
      <xdr:col>54</xdr:col>
      <xdr:colOff>28575</xdr:colOff>
      <xdr:row>206</xdr:row>
      <xdr:rowOff>177264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41</xdr:col>
      <xdr:colOff>741217</xdr:colOff>
      <xdr:row>207</xdr:row>
      <xdr:rowOff>182025</xdr:rowOff>
    </xdr:from>
    <xdr:to>
      <xdr:col>54</xdr:col>
      <xdr:colOff>38099</xdr:colOff>
      <xdr:row>223</xdr:row>
      <xdr:rowOff>177264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41</xdr:col>
      <xdr:colOff>741219</xdr:colOff>
      <xdr:row>225</xdr:row>
      <xdr:rowOff>10575</xdr:rowOff>
    </xdr:from>
    <xdr:to>
      <xdr:col>54</xdr:col>
      <xdr:colOff>19050</xdr:colOff>
      <xdr:row>244</xdr:row>
      <xdr:rowOff>5814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41</xdr:col>
      <xdr:colOff>738187</xdr:colOff>
      <xdr:row>128</xdr:row>
      <xdr:rowOff>4762</xdr:rowOff>
    </xdr:from>
    <xdr:to>
      <xdr:col>54</xdr:col>
      <xdr:colOff>19050</xdr:colOff>
      <xdr:row>148</xdr:row>
      <xdr:rowOff>4082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41</xdr:col>
      <xdr:colOff>740228</xdr:colOff>
      <xdr:row>149</xdr:row>
      <xdr:rowOff>2721</xdr:rowOff>
    </xdr:from>
    <xdr:to>
      <xdr:col>53</xdr:col>
      <xdr:colOff>590550</xdr:colOff>
      <xdr:row>164</xdr:row>
      <xdr:rowOff>176892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55</xdr:col>
      <xdr:colOff>1</xdr:colOff>
      <xdr:row>93</xdr:row>
      <xdr:rowOff>180975</xdr:rowOff>
    </xdr:from>
    <xdr:to>
      <xdr:col>67</xdr:col>
      <xdr:colOff>161925</xdr:colOff>
      <xdr:row>121</xdr:row>
      <xdr:rowOff>180975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54</xdr:col>
      <xdr:colOff>607867</xdr:colOff>
      <xdr:row>165</xdr:row>
      <xdr:rowOff>177264</xdr:rowOff>
    </xdr:from>
    <xdr:to>
      <xdr:col>67</xdr:col>
      <xdr:colOff>209550</xdr:colOff>
      <xdr:row>188</xdr:row>
      <xdr:rowOff>186789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54</xdr:col>
      <xdr:colOff>598343</xdr:colOff>
      <xdr:row>190</xdr:row>
      <xdr:rowOff>1051</xdr:rowOff>
    </xdr:from>
    <xdr:to>
      <xdr:col>67</xdr:col>
      <xdr:colOff>200025</xdr:colOff>
      <xdr:row>206</xdr:row>
      <xdr:rowOff>167739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55</xdr:col>
      <xdr:colOff>3029</xdr:colOff>
      <xdr:row>207</xdr:row>
      <xdr:rowOff>182025</xdr:rowOff>
    </xdr:from>
    <xdr:to>
      <xdr:col>67</xdr:col>
      <xdr:colOff>219074</xdr:colOff>
      <xdr:row>223</xdr:row>
      <xdr:rowOff>177264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55</xdr:col>
      <xdr:colOff>22081</xdr:colOff>
      <xdr:row>225</xdr:row>
      <xdr:rowOff>10575</xdr:rowOff>
    </xdr:from>
    <xdr:to>
      <xdr:col>67</xdr:col>
      <xdr:colOff>228600</xdr:colOff>
      <xdr:row>244</xdr:row>
      <xdr:rowOff>5814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54</xdr:col>
      <xdr:colOff>600074</xdr:colOff>
      <xdr:row>128</xdr:row>
      <xdr:rowOff>14287</xdr:rowOff>
    </xdr:from>
    <xdr:to>
      <xdr:col>67</xdr:col>
      <xdr:colOff>200025</xdr:colOff>
      <xdr:row>148</xdr:row>
      <xdr:rowOff>13607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54</xdr:col>
      <xdr:colOff>606878</xdr:colOff>
      <xdr:row>149</xdr:row>
      <xdr:rowOff>2721</xdr:rowOff>
    </xdr:from>
    <xdr:to>
      <xdr:col>67</xdr:col>
      <xdr:colOff>161925</xdr:colOff>
      <xdr:row>164</xdr:row>
      <xdr:rowOff>176892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cmmid.github.io/topics/covid19/severity/global_cfr_estimates.html" TargetMode="External"/><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en.wikipedia.org/wiki/Demographics_of_the_United_Stat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E46" sqref="E46"/>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64</v>
      </c>
    </row>
    <row r="3" spans="2:2" x14ac:dyDescent="0.25">
      <c r="B3" t="s">
        <v>52</v>
      </c>
    </row>
    <row r="4" spans="2:2" x14ac:dyDescent="0.25">
      <c r="B4" t="s">
        <v>62</v>
      </c>
    </row>
    <row r="5" spans="2:2" x14ac:dyDescent="0.25">
      <c r="B5" t="s">
        <v>65</v>
      </c>
    </row>
    <row r="6" spans="2:2" x14ac:dyDescent="0.25">
      <c r="B6" t="s">
        <v>66</v>
      </c>
    </row>
    <row r="7" spans="2:2" x14ac:dyDescent="0.25">
      <c r="B7" t="s">
        <v>53</v>
      </c>
    </row>
    <row r="11" spans="2:2" x14ac:dyDescent="0.25">
      <c r="B11" t="s">
        <v>73</v>
      </c>
    </row>
    <row r="12" spans="2:2" x14ac:dyDescent="0.25">
      <c r="B12" t="s">
        <v>86</v>
      </c>
    </row>
    <row r="13" spans="2:2" x14ac:dyDescent="0.25">
      <c r="B13" t="s">
        <v>88</v>
      </c>
    </row>
    <row r="14" spans="2:2" x14ac:dyDescent="0.25">
      <c r="B14" t="s">
        <v>87</v>
      </c>
    </row>
    <row r="15" spans="2:2" x14ac:dyDescent="0.25">
      <c r="B15" t="s">
        <v>94</v>
      </c>
    </row>
    <row r="17" spans="1:43" x14ac:dyDescent="0.25">
      <c r="A17" t="s">
        <v>92</v>
      </c>
      <c r="B17" s="102">
        <f>(AP25/E31) /Projections!B96</f>
        <v>157.23270440251574</v>
      </c>
      <c r="C17" s="103"/>
      <c r="D17" s="104"/>
      <c r="E17" s="98">
        <f>B17*2</f>
        <v>314.46540880503147</v>
      </c>
      <c r="F17" s="103"/>
      <c r="G17" s="98"/>
      <c r="H17" s="98">
        <f>E17*2</f>
        <v>628.93081761006295</v>
      </c>
      <c r="I17" s="103"/>
      <c r="J17" s="104"/>
      <c r="K17" s="95">
        <f>H17*2</f>
        <v>1257.8616352201259</v>
      </c>
      <c r="L17" s="93"/>
      <c r="M17" s="94"/>
      <c r="N17" s="95">
        <f>K17*2</f>
        <v>2515.7232704402518</v>
      </c>
      <c r="O17" s="93"/>
      <c r="P17" s="94"/>
      <c r="Q17" s="95">
        <f>N17*2</f>
        <v>5031.4465408805036</v>
      </c>
      <c r="R17" s="93"/>
      <c r="S17" s="94"/>
      <c r="T17" s="95">
        <f>Q17*2</f>
        <v>10062.893081761007</v>
      </c>
      <c r="U17" s="93"/>
      <c r="V17" s="94"/>
      <c r="W17" s="95">
        <f>T17*2</f>
        <v>20125.786163522014</v>
      </c>
      <c r="X17" s="93"/>
      <c r="Y17" s="94"/>
      <c r="Z17" s="95">
        <f>W17*2</f>
        <v>40251.572327044028</v>
      </c>
      <c r="AA17" s="93"/>
      <c r="AB17" s="94"/>
      <c r="AC17" s="95">
        <f>Z17*2</f>
        <v>80503.144654088057</v>
      </c>
      <c r="AD17" s="93"/>
      <c r="AE17" s="94"/>
      <c r="AF17" s="95">
        <f>AC17*2</f>
        <v>161006.28930817611</v>
      </c>
      <c r="AG17" s="93"/>
      <c r="AH17" s="94"/>
      <c r="AI17" s="95">
        <f>AF17*2</f>
        <v>322012.57861635223</v>
      </c>
      <c r="AJ17" s="93"/>
      <c r="AK17" s="94"/>
      <c r="AL17" s="95">
        <f>AI17*2</f>
        <v>644025.15723270446</v>
      </c>
      <c r="AM17" s="93"/>
      <c r="AN17" s="94"/>
      <c r="AO17" s="95">
        <f>AL17*2</f>
        <v>1288050.3144654089</v>
      </c>
      <c r="AP17" s="98"/>
      <c r="AQ17" t="s">
        <v>92</v>
      </c>
    </row>
    <row r="18" spans="1:43" s="69" customFormat="1" x14ac:dyDescent="0.25">
      <c r="A18" s="69" t="s">
        <v>167</v>
      </c>
      <c r="B18" s="88">
        <f>B17*$E$34</f>
        <v>138.36477987421384</v>
      </c>
      <c r="C18" s="105"/>
      <c r="D18" s="105"/>
      <c r="E18" s="105">
        <f>E17*$E$34</f>
        <v>276.72955974842768</v>
      </c>
      <c r="F18" s="105"/>
      <c r="G18" s="33"/>
      <c r="H18" s="105">
        <f>H17*$E$34</f>
        <v>553.45911949685535</v>
      </c>
      <c r="I18" s="105"/>
      <c r="J18" s="105"/>
      <c r="K18" s="105">
        <f>K17*$E$34</f>
        <v>1106.9182389937107</v>
      </c>
      <c r="L18" s="105"/>
      <c r="M18" s="105"/>
      <c r="N18" s="105">
        <f>N17*$E$34</f>
        <v>2213.8364779874214</v>
      </c>
      <c r="O18" s="105"/>
      <c r="P18" s="105"/>
      <c r="Q18" s="105">
        <f>Q17*$E$34</f>
        <v>4427.6729559748428</v>
      </c>
      <c r="R18" s="105"/>
      <c r="S18" s="105"/>
      <c r="T18" s="105">
        <f>T17*$E$34</f>
        <v>8855.3459119496856</v>
      </c>
      <c r="U18" s="105"/>
      <c r="V18" s="105"/>
      <c r="W18" s="105">
        <f>W17*$E$34</f>
        <v>17710.691823899371</v>
      </c>
      <c r="X18" s="105"/>
      <c r="Y18" s="105"/>
      <c r="Z18" s="105">
        <f>Z17*$E$34</f>
        <v>35421.383647798742</v>
      </c>
      <c r="AA18" s="105"/>
      <c r="AB18" s="105"/>
      <c r="AC18" s="105">
        <f>AC17*$E$34</f>
        <v>70842.767295597485</v>
      </c>
      <c r="AD18" s="105"/>
      <c r="AE18" s="105"/>
      <c r="AF18" s="105">
        <f>AF17*$E$34</f>
        <v>141685.53459119497</v>
      </c>
      <c r="AG18" s="105"/>
      <c r="AH18" s="105"/>
      <c r="AI18" s="105">
        <f>AI17*$E$34</f>
        <v>283371.06918238994</v>
      </c>
      <c r="AJ18" s="105"/>
      <c r="AK18" s="105"/>
      <c r="AL18" s="105">
        <f>AL17*$E$34</f>
        <v>566742.13836477988</v>
      </c>
      <c r="AM18" s="105"/>
      <c r="AN18" s="105"/>
      <c r="AO18" s="105">
        <f>AO17*$E$34</f>
        <v>1133484.2767295598</v>
      </c>
      <c r="AP18" s="33"/>
      <c r="AQ18" s="69" t="s">
        <v>167</v>
      </c>
    </row>
    <row r="19" spans="1:43" s="69" customFormat="1" x14ac:dyDescent="0.25">
      <c r="A19" s="47" t="s">
        <v>169</v>
      </c>
      <c r="B19" s="86">
        <f>B18</f>
        <v>138.36477987421384</v>
      </c>
      <c r="C19" s="87"/>
      <c r="D19" s="87"/>
      <c r="E19" s="87">
        <f>E18</f>
        <v>276.72955974842768</v>
      </c>
      <c r="F19" s="87"/>
      <c r="G19" s="34"/>
      <c r="H19" s="87">
        <f>H18</f>
        <v>553.45911949685535</v>
      </c>
      <c r="I19" s="87"/>
      <c r="J19" s="87"/>
      <c r="K19" s="87">
        <f>K18</f>
        <v>1106.9182389937107</v>
      </c>
      <c r="L19" s="87"/>
      <c r="M19" s="87"/>
      <c r="N19" s="87">
        <f>N18</f>
        <v>2213.8364779874214</v>
      </c>
      <c r="O19" s="87"/>
      <c r="P19" s="87"/>
      <c r="Q19" s="87">
        <f>Q18</f>
        <v>4427.6729559748428</v>
      </c>
      <c r="R19" s="87"/>
      <c r="S19" s="87"/>
      <c r="T19" s="87">
        <f>T18</f>
        <v>8855.3459119496856</v>
      </c>
      <c r="U19" s="87"/>
      <c r="V19" s="87"/>
      <c r="W19" s="121">
        <f>W18-B18</f>
        <v>17572.327044025158</v>
      </c>
      <c r="X19" s="121"/>
      <c r="Y19" s="121"/>
      <c r="Z19" s="121">
        <f>Z18-E18</f>
        <v>35144.654088050316</v>
      </c>
      <c r="AA19" s="121"/>
      <c r="AB19" s="121"/>
      <c r="AC19" s="121">
        <f>AC18-H18</f>
        <v>70289.308176100632</v>
      </c>
      <c r="AD19" s="121"/>
      <c r="AE19" s="121"/>
      <c r="AF19" s="121">
        <f>AF18-K18</f>
        <v>140578.61635220126</v>
      </c>
      <c r="AG19" s="121"/>
      <c r="AH19" s="121"/>
      <c r="AI19" s="121">
        <f>AI18-N18</f>
        <v>281157.23270440253</v>
      </c>
      <c r="AJ19" s="121"/>
      <c r="AK19" s="121"/>
      <c r="AL19" s="121">
        <f>AL18-Q18</f>
        <v>562314.46540880506</v>
      </c>
      <c r="AM19" s="121"/>
      <c r="AN19" s="121"/>
      <c r="AO19" s="121">
        <f>AO18-T18</f>
        <v>1124628.9308176101</v>
      </c>
      <c r="AP19" s="122"/>
      <c r="AQ19" s="47" t="s">
        <v>169</v>
      </c>
    </row>
    <row r="20" spans="1:43" s="69" customFormat="1" x14ac:dyDescent="0.25">
      <c r="A20" t="s">
        <v>93</v>
      </c>
      <c r="B20" s="88"/>
      <c r="C20" s="105"/>
      <c r="D20" s="105"/>
      <c r="E20" s="105"/>
      <c r="F20" s="105"/>
      <c r="G20" s="33"/>
      <c r="H20" s="106"/>
      <c r="I20" s="107"/>
      <c r="J20" s="108"/>
      <c r="K20" s="131">
        <f>B17*(1-$E$34)</f>
        <v>18.867924528301888</v>
      </c>
      <c r="L20" s="128"/>
      <c r="M20" s="129"/>
      <c r="N20" s="130">
        <f>E17*(1-$E$34)</f>
        <v>37.735849056603776</v>
      </c>
      <c r="O20" s="128"/>
      <c r="P20" s="129"/>
      <c r="Q20" s="130">
        <f>H17*(1-$E$34)</f>
        <v>75.471698113207552</v>
      </c>
      <c r="R20" s="128"/>
      <c r="S20" s="129"/>
      <c r="T20" s="130">
        <f>K17*(1-$E$34)</f>
        <v>150.9433962264151</v>
      </c>
      <c r="U20" s="128"/>
      <c r="V20" s="129"/>
      <c r="W20" s="130">
        <f>N17*(1-$E$34)</f>
        <v>301.88679245283021</v>
      </c>
      <c r="X20" s="128"/>
      <c r="Y20" s="129"/>
      <c r="Z20" s="130">
        <f>Q17*(1-$E$34)</f>
        <v>603.77358490566041</v>
      </c>
      <c r="AA20" s="128"/>
      <c r="AB20" s="129"/>
      <c r="AC20" s="130">
        <f>T17*(1-$E$34)</f>
        <v>1207.5471698113208</v>
      </c>
      <c r="AD20" s="128"/>
      <c r="AE20" s="129"/>
      <c r="AF20" s="130">
        <f>W17*(1-$E$34)</f>
        <v>2415.0943396226417</v>
      </c>
      <c r="AG20" s="128"/>
      <c r="AH20" s="129"/>
      <c r="AI20" s="130">
        <f>Z17*(1-$E$34)</f>
        <v>4830.1886792452833</v>
      </c>
      <c r="AJ20" s="128"/>
      <c r="AK20" s="129"/>
      <c r="AL20" s="130">
        <f>AC17*(1-$E$34)</f>
        <v>9660.3773584905666</v>
      </c>
      <c r="AM20" s="128"/>
      <c r="AN20" s="129"/>
      <c r="AO20" s="130">
        <f>AF17*(1-$E$34)</f>
        <v>19320.754716981133</v>
      </c>
      <c r="AP20" s="79"/>
      <c r="AQ20" t="s">
        <v>93</v>
      </c>
    </row>
    <row r="21" spans="1:43" s="69" customFormat="1" x14ac:dyDescent="0.25">
      <c r="A21" s="69" t="s">
        <v>74</v>
      </c>
      <c r="B21" s="80"/>
      <c r="C21" s="81"/>
      <c r="D21" s="81"/>
      <c r="E21" s="81"/>
      <c r="F21" s="81"/>
      <c r="G21" s="82"/>
      <c r="H21" s="123">
        <f>B17-B18</f>
        <v>18.867924528301899</v>
      </c>
      <c r="I21" s="123"/>
      <c r="J21" s="123"/>
      <c r="K21" s="123">
        <f>E17-E18</f>
        <v>37.735849056603797</v>
      </c>
      <c r="L21" s="123"/>
      <c r="M21" s="123"/>
      <c r="N21" s="123">
        <f>(H17-H18)*$E$35</f>
        <v>61.132075471698158</v>
      </c>
      <c r="O21" s="123"/>
      <c r="P21" s="123"/>
      <c r="Q21" s="123">
        <f>(K17-K18)*$E$35</f>
        <v>122.26415094339632</v>
      </c>
      <c r="R21" s="123"/>
      <c r="S21" s="123"/>
      <c r="T21" s="123">
        <f>(N17-N18)*$E$35</f>
        <v>244.52830188679263</v>
      </c>
      <c r="U21" s="123"/>
      <c r="V21" s="123"/>
      <c r="W21" s="123">
        <f>((Q17-Q18)*$E$35)-(H21*$E$35)</f>
        <v>473.77358490566075</v>
      </c>
      <c r="X21" s="123"/>
      <c r="Y21" s="123"/>
      <c r="Z21" s="123">
        <f>((T17-T18)*$E$35)-(K21*$E$35)</f>
        <v>947.54716981132151</v>
      </c>
      <c r="AA21" s="123"/>
      <c r="AB21" s="123"/>
      <c r="AC21" s="123">
        <f>((W17-W18)*$E$35)-N21</f>
        <v>1895.094339622643</v>
      </c>
      <c r="AD21" s="123"/>
      <c r="AE21" s="123"/>
      <c r="AF21" s="123">
        <f>((Z17-Z18)*$E$35)-Q21</f>
        <v>3790.188679245286</v>
      </c>
      <c r="AG21" s="123"/>
      <c r="AH21" s="123"/>
      <c r="AI21" s="123">
        <f>((AC17-AC18)*$E$35)-T21</f>
        <v>7580.3773584905721</v>
      </c>
      <c r="AJ21" s="123"/>
      <c r="AK21" s="123"/>
      <c r="AL21" s="123">
        <f>((AF17-AF18)*$E$35)-W21</f>
        <v>15176.037735849068</v>
      </c>
      <c r="AM21" s="123"/>
      <c r="AN21" s="123"/>
      <c r="AO21" s="123">
        <f>((AI17-AI18)*$E$35)-Z21</f>
        <v>30352.075471698136</v>
      </c>
      <c r="AP21" s="124"/>
      <c r="AQ21" s="69" t="s">
        <v>74</v>
      </c>
    </row>
    <row r="22" spans="1:43" s="69" customFormat="1" x14ac:dyDescent="0.25">
      <c r="A22" s="69" t="s">
        <v>75</v>
      </c>
      <c r="B22" s="80"/>
      <c r="C22" s="81"/>
      <c r="D22" s="81"/>
      <c r="E22" s="81"/>
      <c r="F22" s="81"/>
      <c r="G22" s="82"/>
      <c r="H22" s="107"/>
      <c r="I22" s="107"/>
      <c r="J22" s="107"/>
      <c r="K22" s="107"/>
      <c r="L22" s="107"/>
      <c r="M22" s="108"/>
      <c r="N22" s="125">
        <f>(H17-H18)*($E$36+$E$37)</f>
        <v>14.339622641509443</v>
      </c>
      <c r="O22" s="125"/>
      <c r="P22" s="125"/>
      <c r="Q22" s="125">
        <f>(K17-K18)*($E$36+$E$37)</f>
        <v>28.679245283018886</v>
      </c>
      <c r="R22" s="125"/>
      <c r="S22" s="125"/>
      <c r="T22" s="125">
        <f>(N17-N18)*$E$36</f>
        <v>42.26415094339626</v>
      </c>
      <c r="U22" s="125"/>
      <c r="V22" s="125"/>
      <c r="W22" s="125">
        <f>(Q17-Q18)*$E$36</f>
        <v>84.528301886792519</v>
      </c>
      <c r="X22" s="125"/>
      <c r="Y22" s="125"/>
      <c r="Z22" s="125">
        <f>(T17-T18)*$E$36</f>
        <v>169.05660377358504</v>
      </c>
      <c r="AA22" s="125"/>
      <c r="AB22" s="125"/>
      <c r="AC22" s="125">
        <f>(W17-W18)*$E$36</f>
        <v>338.11320754717008</v>
      </c>
      <c r="AD22" s="125"/>
      <c r="AE22" s="125"/>
      <c r="AF22" s="125">
        <f>(Z17-Z18)*$E$36</f>
        <v>676.22641509434015</v>
      </c>
      <c r="AG22" s="125"/>
      <c r="AH22" s="125"/>
      <c r="AI22" s="125">
        <f>(AC17-AC18)*$E$36</f>
        <v>1352.4528301886803</v>
      </c>
      <c r="AJ22" s="125"/>
      <c r="AK22" s="125"/>
      <c r="AL22" s="125">
        <f>(AF17-AF18)*$E$36</f>
        <v>2704.9056603773606</v>
      </c>
      <c r="AM22" s="125"/>
      <c r="AN22" s="125"/>
      <c r="AO22" s="125">
        <f>(AI17-AI18)*$E$36</f>
        <v>5409.8113207547212</v>
      </c>
      <c r="AP22" s="126"/>
      <c r="AQ22" s="69" t="s">
        <v>75</v>
      </c>
    </row>
    <row r="23" spans="1:43" s="69" customFormat="1" x14ac:dyDescent="0.25">
      <c r="A23" s="47" t="s">
        <v>76</v>
      </c>
      <c r="B23" s="80"/>
      <c r="C23" s="81"/>
      <c r="D23" s="81"/>
      <c r="E23" s="81"/>
      <c r="F23" s="81"/>
      <c r="G23" s="82"/>
      <c r="H23" s="87"/>
      <c r="I23" s="87"/>
      <c r="J23" s="87"/>
      <c r="K23" s="87"/>
      <c r="L23" s="87"/>
      <c r="M23" s="87"/>
      <c r="N23" s="107"/>
      <c r="O23" s="107"/>
      <c r="P23" s="107"/>
      <c r="Q23" s="107"/>
      <c r="R23" s="107"/>
      <c r="S23" s="108"/>
      <c r="T23" s="40">
        <f>(N17-N18)*$E$37</f>
        <v>15.09433962264152</v>
      </c>
      <c r="U23" s="40"/>
      <c r="V23" s="40"/>
      <c r="W23" s="40">
        <f>(Q17-Q18)*$E$37</f>
        <v>30.188679245283041</v>
      </c>
      <c r="X23" s="40"/>
      <c r="Y23" s="40"/>
      <c r="Z23" s="40">
        <f>(T17-T18)*$E$37</f>
        <v>60.377358490566081</v>
      </c>
      <c r="AA23" s="40"/>
      <c r="AB23" s="40"/>
      <c r="AC23" s="40">
        <f>(W17-W18)*$E$37</f>
        <v>120.75471698113216</v>
      </c>
      <c r="AD23" s="40"/>
      <c r="AE23" s="40"/>
      <c r="AF23" s="40">
        <f>(Z17-Z18)*$E$37</f>
        <v>241.50943396226432</v>
      </c>
      <c r="AG23" s="40"/>
      <c r="AH23" s="40"/>
      <c r="AI23" s="40">
        <f>(AC17-AC18)*$E$37</f>
        <v>483.01886792452865</v>
      </c>
      <c r="AJ23" s="40"/>
      <c r="AK23" s="40"/>
      <c r="AL23" s="40">
        <f>(AF17-AF18)*$E$37</f>
        <v>966.0377358490573</v>
      </c>
      <c r="AM23" s="40"/>
      <c r="AN23" s="40"/>
      <c r="AO23" s="40">
        <f>(AI17-AI18)*$E$37</f>
        <v>1932.0754716981146</v>
      </c>
      <c r="AP23" s="127"/>
      <c r="AQ23" s="47" t="s">
        <v>76</v>
      </c>
    </row>
    <row r="24" spans="1:43" s="69" customFormat="1" x14ac:dyDescent="0.25">
      <c r="A24" s="47" t="s">
        <v>81</v>
      </c>
      <c r="B24" s="86"/>
      <c r="C24" s="87"/>
      <c r="D24" s="87"/>
      <c r="E24" s="87"/>
      <c r="F24" s="87"/>
      <c r="G24" s="34"/>
      <c r="H24" s="87"/>
      <c r="I24" s="87"/>
      <c r="J24" s="87"/>
      <c r="K24" s="87"/>
      <c r="L24" s="87"/>
      <c r="M24" s="87"/>
      <c r="N24" s="87"/>
      <c r="O24" s="87"/>
      <c r="P24" s="87"/>
      <c r="Q24" s="87"/>
      <c r="R24" s="87"/>
      <c r="S24" s="87"/>
      <c r="T24" s="107"/>
      <c r="U24" s="108"/>
      <c r="V24" s="109">
        <f>H21*$E$35</f>
        <v>15.28301886792454</v>
      </c>
      <c r="W24" s="109"/>
      <c r="X24" s="109"/>
      <c r="Y24" s="109">
        <f>K21*$E$35</f>
        <v>30.566037735849079</v>
      </c>
      <c r="Z24" s="109"/>
      <c r="AA24" s="109"/>
      <c r="AB24" s="109">
        <f>N21</f>
        <v>61.132075471698158</v>
      </c>
      <c r="AC24" s="109"/>
      <c r="AD24" s="109"/>
      <c r="AE24" s="109">
        <f>Q21</f>
        <v>122.26415094339632</v>
      </c>
      <c r="AF24" s="109"/>
      <c r="AG24" s="109"/>
      <c r="AH24" s="109">
        <f>T21</f>
        <v>244.52830188679263</v>
      </c>
      <c r="AI24" s="109"/>
      <c r="AJ24" s="109"/>
      <c r="AK24" s="109">
        <f>W21</f>
        <v>473.77358490566075</v>
      </c>
      <c r="AL24" s="109"/>
      <c r="AM24" s="109"/>
      <c r="AN24" s="109">
        <f>Z21</f>
        <v>947.54716981132151</v>
      </c>
      <c r="AO24" s="109"/>
      <c r="AP24" s="110"/>
      <c r="AQ24" s="47" t="s">
        <v>81</v>
      </c>
    </row>
    <row r="25" spans="1:43" x14ac:dyDescent="0.25">
      <c r="A25" s="47" t="s">
        <v>70</v>
      </c>
      <c r="B25" s="99"/>
      <c r="C25" s="100"/>
      <c r="D25" s="100"/>
      <c r="E25" s="100"/>
      <c r="F25" s="100"/>
      <c r="G25" s="101"/>
      <c r="H25" s="92"/>
      <c r="I25" s="92"/>
      <c r="J25" s="92"/>
      <c r="K25" s="92"/>
      <c r="L25" s="92"/>
      <c r="M25" s="92"/>
      <c r="N25" s="92"/>
      <c r="O25" s="92"/>
      <c r="P25" s="92"/>
      <c r="Q25" s="92"/>
      <c r="R25" s="92"/>
      <c r="S25" s="92"/>
      <c r="T25" s="92"/>
      <c r="U25" s="92"/>
      <c r="V25" s="92"/>
      <c r="W25" s="92"/>
      <c r="X25" s="92"/>
      <c r="Y25" s="92"/>
      <c r="Z25" s="92"/>
      <c r="AA25" s="92"/>
      <c r="AB25" s="92"/>
      <c r="AC25" s="92"/>
      <c r="AD25" s="92"/>
      <c r="AE25" s="92"/>
      <c r="AF25" s="92"/>
      <c r="AG25" s="92"/>
      <c r="AH25" s="92"/>
      <c r="AI25" s="92"/>
      <c r="AJ25" s="92"/>
      <c r="AK25" s="92"/>
      <c r="AL25" s="92"/>
      <c r="AM25" s="92"/>
      <c r="AN25" s="92"/>
      <c r="AO25" s="92"/>
      <c r="AP25" s="132">
        <f>E32</f>
        <v>1</v>
      </c>
      <c r="AQ25" s="47" t="s">
        <v>70</v>
      </c>
    </row>
    <row r="26" spans="1:43" x14ac:dyDescent="0.25">
      <c r="A26" s="133" t="s">
        <v>97</v>
      </c>
      <c r="B26" s="89">
        <f t="shared" ref="B26:G26" ca="1" si="0">C26-1</f>
        <v>43901.624748379632</v>
      </c>
      <c r="C26" s="90">
        <f t="shared" ca="1" si="0"/>
        <v>43902.624748379632</v>
      </c>
      <c r="D26" s="90">
        <f t="shared" ca="1" si="0"/>
        <v>43903.624748379632</v>
      </c>
      <c r="E26" s="90">
        <f t="shared" ca="1" si="0"/>
        <v>43904.624748379632</v>
      </c>
      <c r="F26" s="90">
        <f t="shared" ca="1" si="0"/>
        <v>43905.624748379632</v>
      </c>
      <c r="G26" s="91">
        <f t="shared" ca="1" si="0"/>
        <v>43906.624748379632</v>
      </c>
      <c r="H26" s="90">
        <f t="shared" ref="H26:U26" ca="1" si="1">I26-1</f>
        <v>43907.624748379632</v>
      </c>
      <c r="I26" s="90">
        <f t="shared" ca="1" si="1"/>
        <v>43908.624748379632</v>
      </c>
      <c r="J26" s="90">
        <f t="shared" ca="1" si="1"/>
        <v>43909.624748379632</v>
      </c>
      <c r="K26" s="90">
        <f t="shared" ca="1" si="1"/>
        <v>43910.624748379632</v>
      </c>
      <c r="L26" s="90">
        <f t="shared" ca="1" si="1"/>
        <v>43911.624748379632</v>
      </c>
      <c r="M26" s="90">
        <f t="shared" ca="1" si="1"/>
        <v>43912.624748379632</v>
      </c>
      <c r="N26" s="91">
        <f t="shared" ca="1" si="1"/>
        <v>43913.624748379632</v>
      </c>
      <c r="O26" s="89">
        <f t="shared" ca="1" si="1"/>
        <v>43914.624748379632</v>
      </c>
      <c r="P26" s="90">
        <f t="shared" ca="1" si="1"/>
        <v>43915.624748379632</v>
      </c>
      <c r="Q26" s="90">
        <f t="shared" ca="1" si="1"/>
        <v>43916.624748379632</v>
      </c>
      <c r="R26" s="90">
        <f t="shared" ca="1" si="1"/>
        <v>43917.624748379632</v>
      </c>
      <c r="S26" s="90">
        <f t="shared" ca="1" si="1"/>
        <v>43918.624748379632</v>
      </c>
      <c r="T26" s="90">
        <f t="shared" ca="1" si="1"/>
        <v>43919.624748379632</v>
      </c>
      <c r="U26" s="91">
        <f t="shared" ca="1" si="1"/>
        <v>43920.624748379632</v>
      </c>
      <c r="V26" s="89">
        <f t="shared" ref="V26:AN26" ca="1" si="2">W26-1</f>
        <v>43921.624748379632</v>
      </c>
      <c r="W26" s="90">
        <f t="shared" ca="1" si="2"/>
        <v>43922.624748379632</v>
      </c>
      <c r="X26" s="90">
        <f t="shared" ca="1" si="2"/>
        <v>43923.624748379632</v>
      </c>
      <c r="Y26" s="90">
        <f t="shared" ca="1" si="2"/>
        <v>43924.624748379632</v>
      </c>
      <c r="Z26" s="90">
        <f t="shared" ca="1" si="2"/>
        <v>43925.624748379632</v>
      </c>
      <c r="AA26" s="90">
        <f t="shared" ca="1" si="2"/>
        <v>43926.624748379632</v>
      </c>
      <c r="AB26" s="91">
        <f t="shared" ca="1" si="2"/>
        <v>43927.624748379632</v>
      </c>
      <c r="AC26" s="89">
        <f t="shared" ca="1" si="2"/>
        <v>43928.624748379632</v>
      </c>
      <c r="AD26" s="90">
        <f t="shared" ca="1" si="2"/>
        <v>43929.624748379632</v>
      </c>
      <c r="AE26" s="90">
        <f t="shared" ca="1" si="2"/>
        <v>43930.624748379632</v>
      </c>
      <c r="AF26" s="90">
        <f t="shared" ca="1" si="2"/>
        <v>43931.624748379632</v>
      </c>
      <c r="AG26" s="90">
        <f t="shared" ca="1" si="2"/>
        <v>43932.624748379632</v>
      </c>
      <c r="AH26" s="90">
        <f t="shared" ca="1" si="2"/>
        <v>43933.624748379632</v>
      </c>
      <c r="AI26" s="91">
        <f t="shared" ca="1" si="2"/>
        <v>43934.624748379632</v>
      </c>
      <c r="AJ26" s="89">
        <f t="shared" ca="1" si="2"/>
        <v>43935.624748379632</v>
      </c>
      <c r="AK26" s="90">
        <f t="shared" ca="1" si="2"/>
        <v>43936.624748379632</v>
      </c>
      <c r="AL26" s="90">
        <f t="shared" ca="1" si="2"/>
        <v>43937.624748379632</v>
      </c>
      <c r="AM26" s="90">
        <f t="shared" ca="1" si="2"/>
        <v>43938.624748379632</v>
      </c>
      <c r="AN26" s="90">
        <f t="shared" ca="1" si="2"/>
        <v>43939.624748379632</v>
      </c>
      <c r="AO26" s="90">
        <f ca="1">AP26-1</f>
        <v>43940.624748379632</v>
      </c>
      <c r="AP26" s="111">
        <f ca="1">NOW()</f>
        <v>43941.624748379632</v>
      </c>
    </row>
    <row r="27" spans="1:43" x14ac:dyDescent="0.25">
      <c r="A27" s="134" t="s">
        <v>98</v>
      </c>
      <c r="B27" s="117">
        <v>1</v>
      </c>
      <c r="C27" s="118">
        <v>2</v>
      </c>
      <c r="D27" s="117">
        <v>3</v>
      </c>
      <c r="E27" s="118">
        <v>4</v>
      </c>
      <c r="F27" s="117">
        <v>5</v>
      </c>
      <c r="G27" s="119">
        <v>6</v>
      </c>
      <c r="H27" s="118">
        <v>7</v>
      </c>
      <c r="I27" s="118">
        <v>8</v>
      </c>
      <c r="J27" s="118">
        <v>9</v>
      </c>
      <c r="K27" s="118">
        <v>10</v>
      </c>
      <c r="L27" s="118">
        <v>11</v>
      </c>
      <c r="M27" s="118">
        <v>12</v>
      </c>
      <c r="N27" s="119">
        <v>13</v>
      </c>
      <c r="O27" s="117">
        <v>14</v>
      </c>
      <c r="P27" s="118">
        <v>15</v>
      </c>
      <c r="Q27" s="118">
        <v>16</v>
      </c>
      <c r="R27" s="118">
        <v>17</v>
      </c>
      <c r="S27" s="118">
        <v>18</v>
      </c>
      <c r="T27" s="118">
        <v>19</v>
      </c>
      <c r="U27" s="119">
        <v>20</v>
      </c>
      <c r="V27" s="117">
        <v>21</v>
      </c>
      <c r="W27" s="118">
        <v>22</v>
      </c>
      <c r="X27" s="118">
        <v>23</v>
      </c>
      <c r="Y27" s="118">
        <v>24</v>
      </c>
      <c r="Z27" s="118">
        <v>25</v>
      </c>
      <c r="AA27" s="118">
        <v>26</v>
      </c>
      <c r="AB27" s="119">
        <v>27</v>
      </c>
      <c r="AC27" s="117">
        <v>28</v>
      </c>
      <c r="AD27" s="118">
        <v>29</v>
      </c>
      <c r="AE27" s="118">
        <v>30</v>
      </c>
      <c r="AF27" s="118">
        <v>31</v>
      </c>
      <c r="AG27" s="118">
        <v>32</v>
      </c>
      <c r="AH27" s="118">
        <v>33</v>
      </c>
      <c r="AI27" s="119">
        <v>34</v>
      </c>
      <c r="AJ27" s="117">
        <v>35</v>
      </c>
      <c r="AK27" s="118">
        <v>36</v>
      </c>
      <c r="AL27" s="118">
        <v>37</v>
      </c>
      <c r="AM27" s="118">
        <v>38</v>
      </c>
      <c r="AN27" s="118">
        <v>39</v>
      </c>
      <c r="AO27" s="118">
        <v>40</v>
      </c>
      <c r="AP27" s="119">
        <v>41</v>
      </c>
    </row>
    <row r="28" spans="1:43" x14ac:dyDescent="0.25">
      <c r="A28" s="135" t="s">
        <v>99</v>
      </c>
      <c r="B28" s="284" t="s">
        <v>68</v>
      </c>
      <c r="C28" s="285"/>
      <c r="D28" s="285"/>
      <c r="E28" s="285"/>
      <c r="F28" s="285"/>
      <c r="G28" s="286"/>
      <c r="H28" s="290" t="s">
        <v>57</v>
      </c>
      <c r="I28" s="290"/>
      <c r="J28" s="290"/>
      <c r="K28" s="290"/>
      <c r="L28" s="290"/>
      <c r="M28" s="290"/>
      <c r="N28" s="291"/>
      <c r="O28" s="289" t="s">
        <v>58</v>
      </c>
      <c r="P28" s="290"/>
      <c r="Q28" s="290"/>
      <c r="R28" s="290"/>
      <c r="S28" s="290"/>
      <c r="T28" s="290"/>
      <c r="U28" s="291"/>
      <c r="V28" s="289" t="s">
        <v>59</v>
      </c>
      <c r="W28" s="290"/>
      <c r="X28" s="290"/>
      <c r="Y28" s="290"/>
      <c r="Z28" s="290"/>
      <c r="AA28" s="290"/>
      <c r="AB28" s="291"/>
      <c r="AC28" s="289" t="s">
        <v>60</v>
      </c>
      <c r="AD28" s="290"/>
      <c r="AE28" s="290"/>
      <c r="AF28" s="290"/>
      <c r="AG28" s="290"/>
      <c r="AH28" s="290"/>
      <c r="AI28" s="291"/>
      <c r="AJ28" s="289" t="s">
        <v>61</v>
      </c>
      <c r="AK28" s="290"/>
      <c r="AL28" s="290"/>
      <c r="AM28" s="290"/>
      <c r="AN28" s="290"/>
      <c r="AO28" s="290"/>
      <c r="AP28" s="291"/>
    </row>
    <row r="29" spans="1:43" x14ac:dyDescent="0.25">
      <c r="B29" s="51" t="s">
        <v>80</v>
      </c>
      <c r="C29" s="96"/>
      <c r="D29" s="96"/>
      <c r="E29" s="96"/>
      <c r="F29" s="96"/>
      <c r="G29" s="97"/>
      <c r="H29" s="287" t="s">
        <v>67</v>
      </c>
      <c r="I29" s="287"/>
      <c r="J29" s="287"/>
      <c r="K29" s="287"/>
      <c r="L29" s="287"/>
      <c r="M29" s="287"/>
      <c r="N29" s="287"/>
      <c r="O29" s="287"/>
      <c r="P29" s="287"/>
      <c r="Q29" s="287"/>
      <c r="R29" s="287"/>
      <c r="S29" s="287"/>
      <c r="T29" s="287"/>
      <c r="U29" s="287"/>
      <c r="V29" s="287"/>
      <c r="W29" s="287"/>
      <c r="X29" s="287"/>
      <c r="Y29" s="287"/>
      <c r="Z29" s="287"/>
      <c r="AA29" s="287"/>
      <c r="AB29" s="287"/>
      <c r="AC29" s="287"/>
      <c r="AD29" s="287"/>
      <c r="AE29" s="287"/>
      <c r="AF29" s="287"/>
      <c r="AG29" s="287"/>
      <c r="AH29" s="287"/>
      <c r="AI29" s="287"/>
      <c r="AJ29" s="287"/>
      <c r="AK29" s="287"/>
      <c r="AL29" s="287"/>
      <c r="AM29" s="287"/>
      <c r="AN29" s="287"/>
      <c r="AO29" s="287"/>
      <c r="AP29" s="288"/>
    </row>
    <row r="31" spans="1:43" x14ac:dyDescent="0.25">
      <c r="B31" s="57" t="s">
        <v>69</v>
      </c>
      <c r="C31" s="138" t="s">
        <v>197</v>
      </c>
      <c r="D31" s="9"/>
      <c r="E31" s="85">
        <f>VLOOKUP(C31,B43:C54,2,FALSE)</f>
        <v>5.2999999999999999E-2</v>
      </c>
      <c r="F31" s="9"/>
      <c r="G31" s="9"/>
      <c r="H31" s="9"/>
      <c r="I31" s="5"/>
    </row>
    <row r="32" spans="1:43" x14ac:dyDescent="0.25">
      <c r="B32" s="41" t="s">
        <v>96</v>
      </c>
      <c r="C32" s="16"/>
      <c r="D32" s="16"/>
      <c r="E32" s="139">
        <v>1</v>
      </c>
      <c r="F32" s="16"/>
      <c r="G32" s="16"/>
      <c r="H32" s="16"/>
      <c r="I32" s="17"/>
    </row>
    <row r="33" spans="2:9" x14ac:dyDescent="0.25">
      <c r="B33" s="41" t="s">
        <v>71</v>
      </c>
      <c r="C33" s="16"/>
      <c r="D33" s="16"/>
      <c r="E33" s="16">
        <v>3</v>
      </c>
      <c r="F33" s="16" t="s">
        <v>72</v>
      </c>
      <c r="G33" s="16"/>
      <c r="H33" s="16"/>
      <c r="I33" s="17"/>
    </row>
    <row r="34" spans="2:9" x14ac:dyDescent="0.25">
      <c r="B34" s="41" t="s">
        <v>192</v>
      </c>
      <c r="C34" s="16"/>
      <c r="D34" s="16"/>
      <c r="E34" s="140">
        <f>1-Projections!B96</f>
        <v>0.88</v>
      </c>
      <c r="F34" s="16" t="s">
        <v>194</v>
      </c>
      <c r="G34" s="16"/>
      <c r="H34" s="16"/>
      <c r="I34" s="17"/>
    </row>
    <row r="35" spans="2:9" x14ac:dyDescent="0.25">
      <c r="B35" s="41" t="s">
        <v>77</v>
      </c>
      <c r="C35" s="16"/>
      <c r="D35" s="16"/>
      <c r="E35" s="140">
        <v>0.81</v>
      </c>
      <c r="F35" s="16" t="s">
        <v>95</v>
      </c>
      <c r="G35" s="16"/>
      <c r="H35" s="16"/>
      <c r="I35" s="17"/>
    </row>
    <row r="36" spans="2:9" x14ac:dyDescent="0.25">
      <c r="B36" s="41" t="s">
        <v>78</v>
      </c>
      <c r="C36" s="16"/>
      <c r="D36" s="16"/>
      <c r="E36" s="140">
        <v>0.14000000000000001</v>
      </c>
      <c r="F36" s="16" t="s">
        <v>95</v>
      </c>
      <c r="G36" s="16"/>
      <c r="H36" s="16"/>
      <c r="I36" s="17"/>
    </row>
    <row r="37" spans="2:9" x14ac:dyDescent="0.25">
      <c r="B37" s="41" t="s">
        <v>79</v>
      </c>
      <c r="C37" s="16"/>
      <c r="D37" s="16"/>
      <c r="E37" s="140">
        <v>0.05</v>
      </c>
      <c r="F37" s="16" t="s">
        <v>95</v>
      </c>
      <c r="G37" s="16"/>
      <c r="H37" s="16"/>
      <c r="I37" s="17"/>
    </row>
    <row r="38" spans="2:9" x14ac:dyDescent="0.25">
      <c r="B38" s="41" t="s">
        <v>82</v>
      </c>
      <c r="C38" s="16"/>
      <c r="D38" s="16"/>
      <c r="E38" s="136">
        <v>2</v>
      </c>
      <c r="F38" s="16" t="s">
        <v>83</v>
      </c>
      <c r="G38" s="16"/>
      <c r="H38" s="16"/>
      <c r="I38" s="17"/>
    </row>
    <row r="39" spans="2:9" x14ac:dyDescent="0.25">
      <c r="B39" s="37" t="s">
        <v>84</v>
      </c>
      <c r="C39" s="137"/>
      <c r="D39" s="39"/>
      <c r="E39" s="116">
        <v>4</v>
      </c>
      <c r="F39" s="39" t="s">
        <v>83</v>
      </c>
      <c r="G39" s="39" t="s">
        <v>85</v>
      </c>
      <c r="H39" s="39"/>
      <c r="I39" s="63"/>
    </row>
    <row r="42" spans="2:9" x14ac:dyDescent="0.25">
      <c r="B42" t="s">
        <v>91</v>
      </c>
    </row>
    <row r="43" spans="2:9" x14ac:dyDescent="0.25">
      <c r="B43" s="4" t="s">
        <v>90</v>
      </c>
      <c r="C43" s="115">
        <v>3.5000000000000003E-2</v>
      </c>
    </row>
    <row r="44" spans="2:9" x14ac:dyDescent="0.25">
      <c r="B44" s="41" t="s">
        <v>89</v>
      </c>
      <c r="C44" s="27">
        <v>2.3E-2</v>
      </c>
    </row>
    <row r="45" spans="2:9" x14ac:dyDescent="0.25">
      <c r="B45" s="41" t="s">
        <v>197</v>
      </c>
      <c r="C45" s="27">
        <f>Projections!B103</f>
        <v>5.2999999999999999E-2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20"/>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100</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R176"/>
  <sheetViews>
    <sheetView tabSelected="1" topLeftCell="I79" zoomScaleNormal="100" workbookViewId="0">
      <selection activeCell="X102" sqref="X102"/>
    </sheetView>
  </sheetViews>
  <sheetFormatPr defaultRowHeight="15" x14ac:dyDescent="0.25"/>
  <cols>
    <col min="1" max="1" width="44.28515625" customWidth="1"/>
    <col min="2" max="2" width="16.7109375" bestFit="1" customWidth="1"/>
    <col min="3" max="3" width="12" customWidth="1"/>
    <col min="4" max="4" width="13.5703125" bestFit="1" customWidth="1"/>
    <col min="5" max="5" width="10.7109375" bestFit="1" customWidth="1"/>
    <col min="6" max="11" width="11.28515625" customWidth="1"/>
    <col min="12" max="12" width="10.7109375" customWidth="1"/>
    <col min="13" max="13" width="10.85546875" bestFit="1" customWidth="1"/>
    <col min="14" max="14" width="10.7109375" bestFit="1" customWidth="1"/>
    <col min="15" max="16" width="10.85546875" bestFit="1" customWidth="1"/>
    <col min="17" max="17" width="10.5703125" customWidth="1"/>
    <col min="18" max="18" width="11.28515625" bestFit="1" customWidth="1"/>
    <col min="19" max="19" width="11" customWidth="1"/>
    <col min="20" max="20" width="10.7109375" customWidth="1"/>
    <col min="21" max="22" width="10.85546875" bestFit="1" customWidth="1"/>
    <col min="23" max="23" width="10.85546875" customWidth="1"/>
    <col min="24" max="25" width="10.85546875" bestFit="1" customWidth="1"/>
    <col min="26" max="29" width="11.28515625" customWidth="1"/>
    <col min="30" max="31" width="10.7109375" bestFit="1" customWidth="1"/>
    <col min="32" max="32" width="10.7109375" customWidth="1"/>
    <col min="33" max="33" width="10.7109375" bestFit="1" customWidth="1"/>
    <col min="34" max="37" width="11.5703125" bestFit="1" customWidth="1"/>
    <col min="38" max="39" width="13.28515625" bestFit="1" customWidth="1"/>
    <col min="40" max="40" width="13.7109375" customWidth="1"/>
    <col min="41" max="41" width="11.5703125" style="69" bestFit="1" customWidth="1"/>
    <col min="42" max="42" width="11.140625" bestFit="1" customWidth="1"/>
    <col min="43" max="43" width="12.140625" bestFit="1" customWidth="1"/>
  </cols>
  <sheetData>
    <row r="1" spans="3:12" x14ac:dyDescent="0.25">
      <c r="C1" t="s">
        <v>118</v>
      </c>
    </row>
    <row r="2" spans="3:12" x14ac:dyDescent="0.25">
      <c r="C2" s="217">
        <v>44195</v>
      </c>
      <c r="D2" t="s">
        <v>279</v>
      </c>
    </row>
    <row r="3" spans="3:12" x14ac:dyDescent="0.25">
      <c r="C3" s="217">
        <v>43830</v>
      </c>
      <c r="D3" t="s">
        <v>282</v>
      </c>
    </row>
    <row r="4" spans="3:12" x14ac:dyDescent="0.25">
      <c r="C4" s="217"/>
      <c r="D4" s="217">
        <v>43833</v>
      </c>
      <c r="E4" t="s">
        <v>278</v>
      </c>
    </row>
    <row r="5" spans="3:12" x14ac:dyDescent="0.25">
      <c r="D5" s="271">
        <v>43835</v>
      </c>
      <c r="E5" s="69" t="s">
        <v>274</v>
      </c>
      <c r="F5" s="69"/>
      <c r="G5" s="69"/>
      <c r="H5" s="69"/>
      <c r="I5" s="69"/>
      <c r="J5" s="165"/>
      <c r="L5" s="217"/>
    </row>
    <row r="6" spans="3:12" x14ac:dyDescent="0.25">
      <c r="D6" s="158">
        <v>43836</v>
      </c>
      <c r="E6" s="159" t="s">
        <v>199</v>
      </c>
      <c r="F6" s="159"/>
      <c r="G6" s="159"/>
      <c r="H6" s="159"/>
      <c r="I6" s="159"/>
      <c r="J6" s="158">
        <v>43850</v>
      </c>
      <c r="L6" s="217"/>
    </row>
    <row r="7" spans="3:12" x14ac:dyDescent="0.25">
      <c r="D7" s="271">
        <v>43837</v>
      </c>
      <c r="E7" s="69" t="s">
        <v>238</v>
      </c>
      <c r="F7" s="69"/>
      <c r="G7" s="69"/>
      <c r="H7" s="69"/>
      <c r="I7" s="69"/>
      <c r="J7" s="165"/>
      <c r="L7" s="217"/>
    </row>
    <row r="8" spans="3:12" s="69" customFormat="1" x14ac:dyDescent="0.25">
      <c r="D8" s="165">
        <v>43838</v>
      </c>
      <c r="E8" s="69" t="s">
        <v>283</v>
      </c>
      <c r="J8" s="165"/>
      <c r="L8" s="165"/>
    </row>
    <row r="9" spans="3:12" x14ac:dyDescent="0.25">
      <c r="D9" s="271">
        <v>43839</v>
      </c>
      <c r="E9" s="69" t="s">
        <v>239</v>
      </c>
      <c r="F9" s="69"/>
      <c r="G9" s="69"/>
      <c r="H9" s="69"/>
      <c r="I9" s="69"/>
      <c r="J9" s="165"/>
      <c r="L9" s="217"/>
    </row>
    <row r="10" spans="3:12" x14ac:dyDescent="0.25">
      <c r="D10" s="271">
        <v>43840</v>
      </c>
      <c r="E10" s="69" t="s">
        <v>247</v>
      </c>
      <c r="F10" s="69"/>
      <c r="G10" s="69"/>
      <c r="H10" s="69"/>
      <c r="I10" s="69"/>
      <c r="J10" s="165"/>
      <c r="L10" s="217"/>
    </row>
    <row r="11" spans="3:12" x14ac:dyDescent="0.25">
      <c r="D11" s="165">
        <v>43841</v>
      </c>
      <c r="E11" s="69" t="s">
        <v>248</v>
      </c>
      <c r="F11" s="69"/>
      <c r="G11" s="69"/>
      <c r="H11" s="69"/>
      <c r="I11" s="69"/>
      <c r="J11" s="165"/>
      <c r="L11" s="217"/>
    </row>
    <row r="12" spans="3:12" x14ac:dyDescent="0.25">
      <c r="D12" s="165">
        <v>43842</v>
      </c>
      <c r="E12" s="69" t="s">
        <v>280</v>
      </c>
      <c r="F12" s="69"/>
      <c r="G12" s="69"/>
      <c r="H12" s="69"/>
      <c r="I12" s="69"/>
      <c r="J12" s="165"/>
      <c r="L12" s="217"/>
    </row>
    <row r="13" spans="3:12" x14ac:dyDescent="0.25">
      <c r="D13" s="271">
        <v>43844</v>
      </c>
      <c r="E13" s="69" t="s">
        <v>275</v>
      </c>
      <c r="F13" s="69"/>
      <c r="G13" s="69"/>
      <c r="H13" s="69"/>
      <c r="I13" s="69"/>
      <c r="J13" s="165"/>
      <c r="L13" s="217"/>
    </row>
    <row r="14" spans="3:12" x14ac:dyDescent="0.25">
      <c r="D14" s="165">
        <v>43846</v>
      </c>
      <c r="E14" s="69" t="s">
        <v>200</v>
      </c>
      <c r="F14" s="69"/>
      <c r="G14" s="69"/>
      <c r="H14" s="69"/>
      <c r="I14" s="69"/>
      <c r="J14" s="165"/>
      <c r="L14" s="217"/>
    </row>
    <row r="15" spans="3:12" x14ac:dyDescent="0.25">
      <c r="D15" s="158">
        <v>43847</v>
      </c>
      <c r="E15" s="159" t="s">
        <v>231</v>
      </c>
      <c r="F15" s="159"/>
      <c r="G15" s="159"/>
      <c r="H15" s="159"/>
      <c r="I15" s="159"/>
      <c r="J15" s="158">
        <v>43861</v>
      </c>
      <c r="L15" s="217"/>
    </row>
    <row r="16" spans="3:12" x14ac:dyDescent="0.25">
      <c r="D16" s="270">
        <v>43848</v>
      </c>
      <c r="E16" s="69" t="s">
        <v>210</v>
      </c>
      <c r="F16" s="69"/>
      <c r="G16" s="69"/>
      <c r="H16" s="69"/>
      <c r="I16" s="69"/>
      <c r="J16" s="165"/>
      <c r="K16" s="69"/>
      <c r="L16" s="165"/>
    </row>
    <row r="17" spans="3:35" x14ac:dyDescent="0.25">
      <c r="D17" s="217">
        <v>43851</v>
      </c>
      <c r="E17" t="s">
        <v>201</v>
      </c>
    </row>
    <row r="18" spans="3:35" x14ac:dyDescent="0.25">
      <c r="D18" s="270">
        <v>43852</v>
      </c>
      <c r="E18" t="s">
        <v>202</v>
      </c>
    </row>
    <row r="19" spans="3:35" x14ac:dyDescent="0.25">
      <c r="C19" s="69"/>
      <c r="D19" s="271">
        <v>43853</v>
      </c>
      <c r="E19" s="69" t="s">
        <v>244</v>
      </c>
      <c r="F19" s="69"/>
      <c r="G19" s="69"/>
      <c r="H19" s="69"/>
      <c r="I19" s="69"/>
      <c r="J19" s="69"/>
      <c r="K19" s="69"/>
      <c r="L19" s="69"/>
      <c r="M19" s="69"/>
      <c r="N19" s="69"/>
      <c r="O19" s="69"/>
      <c r="P19" s="69"/>
      <c r="Q19" s="69"/>
      <c r="R19" s="69"/>
      <c r="S19" s="69"/>
      <c r="T19" s="69"/>
      <c r="U19" s="69"/>
      <c r="V19" s="69"/>
      <c r="W19" s="69"/>
      <c r="X19" s="69"/>
      <c r="Y19" s="69"/>
      <c r="Z19" s="69"/>
      <c r="AA19" s="69"/>
      <c r="AB19" s="69"/>
      <c r="AC19" s="69"/>
      <c r="AD19" s="69"/>
      <c r="AE19" s="69"/>
    </row>
    <row r="20" spans="3:35" x14ac:dyDescent="0.25">
      <c r="C20" s="69"/>
      <c r="D20" s="270">
        <v>43854</v>
      </c>
      <c r="E20" s="69" t="s">
        <v>240</v>
      </c>
      <c r="F20" s="69"/>
      <c r="G20" s="69"/>
      <c r="H20" s="69"/>
      <c r="I20" s="69"/>
      <c r="J20" s="69"/>
      <c r="K20" s="69"/>
      <c r="L20" s="69"/>
      <c r="M20" s="69"/>
      <c r="N20" s="69"/>
      <c r="O20" s="69"/>
      <c r="P20" s="69"/>
      <c r="Q20" s="69"/>
      <c r="R20" s="69"/>
      <c r="S20" s="69"/>
      <c r="T20" s="69"/>
      <c r="U20" s="69"/>
      <c r="V20" s="69"/>
      <c r="W20" s="69"/>
      <c r="X20" s="69"/>
      <c r="Y20" s="69"/>
      <c r="Z20" s="69"/>
      <c r="AA20" s="69"/>
      <c r="AB20" s="69"/>
      <c r="AC20" s="69"/>
      <c r="AD20" s="69"/>
      <c r="AE20" s="69"/>
    </row>
    <row r="21" spans="3:35" x14ac:dyDescent="0.25">
      <c r="C21" s="69"/>
      <c r="D21" s="165">
        <v>43857</v>
      </c>
      <c r="E21" s="69" t="s">
        <v>211</v>
      </c>
      <c r="F21" s="69"/>
      <c r="G21" s="69"/>
      <c r="H21" s="69"/>
      <c r="I21" s="69"/>
      <c r="J21" s="69"/>
      <c r="K21" s="69"/>
      <c r="L21" s="69"/>
      <c r="M21" s="69"/>
      <c r="N21" s="69"/>
      <c r="O21" s="69"/>
      <c r="P21" s="69"/>
      <c r="Q21" s="69"/>
      <c r="R21" s="69"/>
      <c r="S21" s="69"/>
      <c r="T21" s="69"/>
      <c r="U21" s="69"/>
      <c r="V21" s="69"/>
      <c r="W21" s="69"/>
      <c r="X21" s="69"/>
      <c r="Y21" s="69"/>
      <c r="Z21" s="69"/>
      <c r="AA21" s="69"/>
      <c r="AB21" s="69"/>
      <c r="AC21" s="69"/>
      <c r="AD21" s="69"/>
      <c r="AE21" s="69"/>
    </row>
    <row r="22" spans="3:35" x14ac:dyDescent="0.25">
      <c r="C22" s="69"/>
      <c r="D22" s="165">
        <v>43859</v>
      </c>
      <c r="E22" s="69" t="s">
        <v>212</v>
      </c>
      <c r="F22" s="69"/>
      <c r="G22" s="69"/>
      <c r="H22" s="69"/>
      <c r="I22" s="69"/>
      <c r="J22" s="69"/>
      <c r="K22" s="69"/>
      <c r="L22" s="69"/>
      <c r="M22" s="69"/>
      <c r="N22" s="69"/>
      <c r="O22" s="69"/>
      <c r="P22" s="69"/>
      <c r="Q22" s="69"/>
      <c r="R22" s="69"/>
      <c r="S22" s="69"/>
      <c r="T22" s="69"/>
      <c r="U22" s="69"/>
      <c r="V22" s="69"/>
      <c r="W22" s="69"/>
      <c r="X22" s="69"/>
      <c r="Y22" s="69"/>
      <c r="Z22" s="69"/>
      <c r="AA22" s="69"/>
      <c r="AB22" s="69"/>
      <c r="AC22" s="69"/>
      <c r="AD22" s="69"/>
      <c r="AE22" s="69"/>
    </row>
    <row r="23" spans="3:35" x14ac:dyDescent="0.25">
      <c r="D23" s="217">
        <v>43859</v>
      </c>
      <c r="E23" t="s">
        <v>203</v>
      </c>
    </row>
    <row r="24" spans="3:35" x14ac:dyDescent="0.25">
      <c r="D24" s="271">
        <v>43860</v>
      </c>
      <c r="E24" t="s">
        <v>249</v>
      </c>
    </row>
    <row r="25" spans="3:35" x14ac:dyDescent="0.25">
      <c r="D25" s="270">
        <v>43860</v>
      </c>
      <c r="E25" t="s">
        <v>213</v>
      </c>
      <c r="AF25" s="69"/>
      <c r="AG25" s="69"/>
      <c r="AH25" s="69"/>
      <c r="AI25" s="69"/>
    </row>
    <row r="26" spans="3:35" s="69" customFormat="1" x14ac:dyDescent="0.25">
      <c r="D26" s="165">
        <v>43860</v>
      </c>
      <c r="E26" s="69" t="s">
        <v>281</v>
      </c>
    </row>
    <row r="27" spans="3:35" x14ac:dyDescent="0.25">
      <c r="D27" s="165">
        <v>43861</v>
      </c>
      <c r="E27" s="69" t="s">
        <v>255</v>
      </c>
      <c r="F27" s="69"/>
      <c r="G27" s="69"/>
      <c r="H27" s="69"/>
      <c r="I27" s="69"/>
      <c r="J27" s="69"/>
      <c r="K27" s="165"/>
      <c r="AF27" s="69"/>
      <c r="AG27" s="69"/>
      <c r="AH27" s="69"/>
      <c r="AI27" s="69"/>
    </row>
    <row r="28" spans="3:35" x14ac:dyDescent="0.25">
      <c r="D28" s="270">
        <v>43861</v>
      </c>
      <c r="E28" s="69" t="s">
        <v>258</v>
      </c>
      <c r="F28" s="69"/>
      <c r="G28" s="69"/>
      <c r="H28" s="69"/>
      <c r="I28" s="69"/>
      <c r="J28" s="69"/>
      <c r="K28" s="165"/>
      <c r="AF28" s="69"/>
      <c r="AG28" s="69"/>
      <c r="AH28" s="69"/>
      <c r="AI28" s="69"/>
    </row>
    <row r="29" spans="3:35" x14ac:dyDescent="0.25">
      <c r="D29" s="165">
        <v>43861</v>
      </c>
      <c r="E29" s="69" t="s">
        <v>256</v>
      </c>
      <c r="F29" s="69"/>
      <c r="G29" s="69"/>
      <c r="H29" s="69"/>
      <c r="I29" s="69"/>
      <c r="J29" s="69"/>
      <c r="K29" s="165"/>
      <c r="AF29" s="69"/>
      <c r="AG29" s="69"/>
      <c r="AH29" s="69"/>
      <c r="AI29" s="69"/>
    </row>
    <row r="30" spans="3:35" x14ac:dyDescent="0.25">
      <c r="D30" s="165" t="s">
        <v>214</v>
      </c>
      <c r="E30" t="s">
        <v>215</v>
      </c>
      <c r="AF30" s="69"/>
      <c r="AG30" s="69"/>
      <c r="AH30" s="69"/>
      <c r="AI30" s="69"/>
    </row>
    <row r="31" spans="3:35" x14ac:dyDescent="0.25">
      <c r="D31" s="165"/>
      <c r="E31" s="217">
        <v>43862</v>
      </c>
      <c r="F31" t="s">
        <v>252</v>
      </c>
      <c r="AF31" s="69"/>
      <c r="AG31" s="69"/>
      <c r="AH31" s="69"/>
      <c r="AI31" s="69"/>
    </row>
    <row r="32" spans="3:35" x14ac:dyDescent="0.25">
      <c r="E32" s="158">
        <v>43863</v>
      </c>
      <c r="F32" s="159" t="s">
        <v>205</v>
      </c>
      <c r="G32" s="159"/>
      <c r="H32" s="159"/>
      <c r="I32" s="159"/>
      <c r="J32" s="158"/>
      <c r="K32" s="158">
        <v>43877</v>
      </c>
      <c r="AF32" s="69"/>
      <c r="AG32" s="69"/>
      <c r="AH32" s="69"/>
      <c r="AI32" s="69"/>
    </row>
    <row r="33" spans="3:36" x14ac:dyDescent="0.25">
      <c r="C33" s="69"/>
      <c r="D33" s="69"/>
      <c r="E33" s="165"/>
      <c r="F33" s="272" t="s">
        <v>242</v>
      </c>
      <c r="G33" s="69" t="s">
        <v>243</v>
      </c>
      <c r="H33" s="69"/>
      <c r="I33" s="69"/>
      <c r="J33" s="165"/>
      <c r="K33" s="165"/>
      <c r="L33" s="69"/>
      <c r="M33" s="69"/>
      <c r="N33" s="69"/>
      <c r="O33" s="69"/>
      <c r="P33" s="69"/>
      <c r="Q33" s="69"/>
      <c r="R33" s="69"/>
      <c r="S33" s="69"/>
      <c r="T33" s="69"/>
      <c r="U33" s="69"/>
      <c r="V33" s="69"/>
      <c r="W33" s="69"/>
      <c r="X33" s="69"/>
      <c r="Y33" s="69"/>
      <c r="Z33" s="69"/>
      <c r="AA33" s="69"/>
      <c r="AB33" s="69"/>
      <c r="AC33" s="69"/>
      <c r="AD33" s="69"/>
      <c r="AE33" s="69"/>
    </row>
    <row r="34" spans="3:36" x14ac:dyDescent="0.25">
      <c r="E34" s="165"/>
      <c r="F34" s="165">
        <v>43866</v>
      </c>
      <c r="G34" s="69" t="s">
        <v>257</v>
      </c>
      <c r="H34" s="69"/>
      <c r="I34" s="69"/>
      <c r="J34" s="165"/>
      <c r="K34" s="165"/>
    </row>
    <row r="35" spans="3:36" x14ac:dyDescent="0.25">
      <c r="E35" s="165"/>
      <c r="F35" s="165">
        <v>43868</v>
      </c>
      <c r="G35" s="69" t="s">
        <v>277</v>
      </c>
      <c r="H35" s="69"/>
      <c r="I35" s="69"/>
      <c r="J35" s="165"/>
      <c r="K35" s="165"/>
    </row>
    <row r="36" spans="3:36" x14ac:dyDescent="0.25">
      <c r="E36" s="165"/>
      <c r="G36" s="270">
        <v>43880</v>
      </c>
      <c r="H36" s="69" t="s">
        <v>216</v>
      </c>
      <c r="I36" s="69"/>
      <c r="J36" s="69"/>
      <c r="K36" s="165"/>
      <c r="L36" s="165"/>
    </row>
    <row r="37" spans="3:36" x14ac:dyDescent="0.25">
      <c r="E37" s="165"/>
      <c r="F37" s="165"/>
      <c r="G37" s="69"/>
      <c r="H37" s="69"/>
      <c r="I37" s="69"/>
      <c r="J37" s="165"/>
      <c r="K37" s="165"/>
      <c r="L37" s="217">
        <v>43882</v>
      </c>
      <c r="M37" t="s">
        <v>217</v>
      </c>
      <c r="AJ37" s="69"/>
    </row>
    <row r="38" spans="3:36" x14ac:dyDescent="0.25">
      <c r="E38" s="165"/>
      <c r="F38" s="165"/>
      <c r="G38" s="69"/>
      <c r="H38" s="69"/>
      <c r="I38" s="69"/>
      <c r="J38" s="165"/>
      <c r="K38" s="165"/>
      <c r="L38" s="271">
        <v>43883</v>
      </c>
      <c r="M38" t="s">
        <v>241</v>
      </c>
      <c r="AJ38" s="69"/>
    </row>
    <row r="39" spans="3:36" x14ac:dyDescent="0.25">
      <c r="E39" s="165"/>
      <c r="F39" s="165"/>
      <c r="G39" s="69"/>
      <c r="H39" s="69"/>
      <c r="I39" s="69"/>
      <c r="J39" s="165"/>
      <c r="K39" s="165"/>
      <c r="L39" s="217">
        <v>43884</v>
      </c>
      <c r="M39" t="s">
        <v>218</v>
      </c>
      <c r="AJ39" s="69"/>
    </row>
    <row r="40" spans="3:36" x14ac:dyDescent="0.25">
      <c r="D40" s="217"/>
      <c r="L40" s="270">
        <v>43885</v>
      </c>
      <c r="M40" t="s">
        <v>204</v>
      </c>
      <c r="AF40" s="69"/>
      <c r="AG40" s="69"/>
      <c r="AH40" s="69"/>
      <c r="AI40" s="69"/>
      <c r="AJ40" s="69"/>
    </row>
    <row r="41" spans="3:36" x14ac:dyDescent="0.25">
      <c r="L41" s="165">
        <v>43886</v>
      </c>
      <c r="M41" t="s">
        <v>219</v>
      </c>
      <c r="AJ41" s="69"/>
    </row>
    <row r="42" spans="3:36" x14ac:dyDescent="0.25">
      <c r="L42" s="270">
        <v>43886</v>
      </c>
      <c r="M42" t="s">
        <v>220</v>
      </c>
      <c r="AJ42" s="69"/>
    </row>
    <row r="43" spans="3:36" s="69" customFormat="1" x14ac:dyDescent="0.25">
      <c r="C43"/>
      <c r="D43"/>
      <c r="E43"/>
      <c r="F43"/>
      <c r="G43"/>
      <c r="H43"/>
      <c r="I43"/>
      <c r="J43"/>
      <c r="K43"/>
      <c r="L43" s="270">
        <v>43886</v>
      </c>
      <c r="M43" t="s">
        <v>221</v>
      </c>
      <c r="N43"/>
      <c r="O43"/>
      <c r="P43"/>
      <c r="Q43"/>
      <c r="R43"/>
      <c r="S43"/>
      <c r="T43"/>
      <c r="U43"/>
      <c r="V43"/>
      <c r="W43"/>
      <c r="X43"/>
      <c r="Y43"/>
      <c r="Z43"/>
      <c r="AA43"/>
      <c r="AB43"/>
      <c r="AC43"/>
      <c r="AD43"/>
      <c r="AE43"/>
      <c r="AF43"/>
      <c r="AG43"/>
      <c r="AH43"/>
      <c r="AI43"/>
    </row>
    <row r="44" spans="3:36" s="69" customFormat="1" x14ac:dyDescent="0.25">
      <c r="C44"/>
      <c r="D44"/>
      <c r="E44"/>
      <c r="F44"/>
      <c r="G44"/>
      <c r="H44"/>
      <c r="I44"/>
      <c r="J44"/>
      <c r="K44"/>
      <c r="L44" s="270">
        <v>43887</v>
      </c>
      <c r="M44" t="s">
        <v>222</v>
      </c>
      <c r="N44"/>
      <c r="O44"/>
      <c r="P44"/>
      <c r="Q44"/>
      <c r="R44"/>
      <c r="S44"/>
      <c r="T44"/>
      <c r="U44"/>
      <c r="V44"/>
      <c r="W44"/>
      <c r="X44"/>
      <c r="Y44"/>
      <c r="Z44"/>
      <c r="AA44"/>
      <c r="AB44"/>
      <c r="AC44"/>
      <c r="AD44"/>
      <c r="AE44"/>
      <c r="AF44"/>
      <c r="AG44"/>
      <c r="AH44"/>
      <c r="AI44"/>
      <c r="AJ44"/>
    </row>
    <row r="45" spans="3:36" s="69" customFormat="1" x14ac:dyDescent="0.25">
      <c r="C45"/>
      <c r="D45"/>
      <c r="E45"/>
      <c r="F45"/>
      <c r="G45"/>
      <c r="H45"/>
      <c r="I45"/>
      <c r="J45"/>
      <c r="K45"/>
      <c r="L45" s="270">
        <v>43888</v>
      </c>
      <c r="M45" t="s">
        <v>223</v>
      </c>
      <c r="N45"/>
      <c r="O45"/>
      <c r="P45"/>
      <c r="Q45"/>
      <c r="R45"/>
      <c r="S45"/>
      <c r="T45"/>
      <c r="U45"/>
      <c r="V45"/>
      <c r="W45"/>
      <c r="X45"/>
      <c r="Y45"/>
      <c r="Z45"/>
      <c r="AA45"/>
      <c r="AB45"/>
      <c r="AC45"/>
      <c r="AD45"/>
      <c r="AE45"/>
      <c r="AF45"/>
      <c r="AG45"/>
      <c r="AH45"/>
      <c r="AI45"/>
      <c r="AJ45"/>
    </row>
    <row r="46" spans="3:36" s="69" customFormat="1" x14ac:dyDescent="0.25">
      <c r="C46"/>
      <c r="D46"/>
      <c r="E46"/>
      <c r="F46"/>
      <c r="G46"/>
      <c r="H46"/>
      <c r="I46"/>
      <c r="J46"/>
      <c r="K46"/>
      <c r="L46"/>
      <c r="M46" s="158">
        <v>43890</v>
      </c>
      <c r="N46" s="159" t="s">
        <v>206</v>
      </c>
      <c r="O46" s="159"/>
      <c r="P46" s="159"/>
      <c r="Q46" s="159"/>
      <c r="R46" s="158">
        <f>M46+14</f>
        <v>43904</v>
      </c>
      <c r="S46"/>
      <c r="T46"/>
      <c r="U46"/>
      <c r="V46"/>
      <c r="W46"/>
      <c r="X46"/>
      <c r="Y46"/>
      <c r="Z46"/>
      <c r="AA46"/>
      <c r="AB46"/>
      <c r="AC46"/>
      <c r="AD46"/>
      <c r="AE46"/>
      <c r="AF46"/>
      <c r="AG46"/>
      <c r="AH46"/>
      <c r="AI46"/>
      <c r="AJ46"/>
    </row>
    <row r="47" spans="3:36" s="69" customFormat="1" x14ac:dyDescent="0.25">
      <c r="C47"/>
      <c r="D47"/>
      <c r="E47" s="165"/>
      <c r="F47"/>
      <c r="G47"/>
      <c r="H47"/>
      <c r="I47"/>
      <c r="J47"/>
      <c r="K47"/>
      <c r="L47"/>
      <c r="M47" s="158">
        <v>43892</v>
      </c>
      <c r="N47" s="158" t="s">
        <v>181</v>
      </c>
      <c r="O47" s="159"/>
      <c r="P47" s="159"/>
      <c r="Q47" s="158"/>
      <c r="R47" s="159"/>
      <c r="S47" s="158">
        <v>43906</v>
      </c>
      <c r="T47"/>
      <c r="U47"/>
      <c r="V47"/>
      <c r="W47"/>
      <c r="X47"/>
      <c r="Y47"/>
      <c r="Z47"/>
      <c r="AA47"/>
      <c r="AB47"/>
      <c r="AC47"/>
      <c r="AD47"/>
      <c r="AE47"/>
      <c r="AF47"/>
      <c r="AG47"/>
      <c r="AH47"/>
      <c r="AI47"/>
      <c r="AJ47"/>
    </row>
    <row r="48" spans="3:36" s="69" customFormat="1" x14ac:dyDescent="0.25">
      <c r="E48" s="165"/>
      <c r="M48" s="165"/>
      <c r="N48" s="165">
        <v>43893</v>
      </c>
      <c r="O48" s="69" t="s">
        <v>235</v>
      </c>
      <c r="Q48" s="165"/>
      <c r="S48" s="165"/>
      <c r="AF48"/>
      <c r="AG48"/>
      <c r="AH48"/>
      <c r="AI48"/>
      <c r="AJ48"/>
    </row>
    <row r="49" spans="3:36" s="69" customFormat="1" x14ac:dyDescent="0.25">
      <c r="C49"/>
      <c r="D49"/>
      <c r="E49" s="165"/>
      <c r="F49"/>
      <c r="G49"/>
      <c r="H49"/>
      <c r="I49"/>
      <c r="J49"/>
      <c r="K49"/>
      <c r="L49"/>
      <c r="M49"/>
      <c r="N49" s="270">
        <v>43894</v>
      </c>
      <c r="O49" t="s">
        <v>207</v>
      </c>
      <c r="P49"/>
      <c r="Q49"/>
      <c r="R49"/>
      <c r="S49"/>
      <c r="T49"/>
      <c r="U49"/>
      <c r="V49"/>
      <c r="W49"/>
      <c r="X49"/>
      <c r="Y49"/>
      <c r="Z49"/>
      <c r="AA49"/>
      <c r="AB49"/>
      <c r="AC49"/>
      <c r="AD49"/>
      <c r="AE49"/>
      <c r="AF49"/>
      <c r="AG49"/>
      <c r="AH49"/>
      <c r="AI49"/>
      <c r="AJ49"/>
    </row>
    <row r="50" spans="3:36" x14ac:dyDescent="0.25">
      <c r="E50" s="165"/>
      <c r="N50" s="165"/>
      <c r="O50" s="270">
        <v>43895</v>
      </c>
      <c r="P50" s="69" t="s">
        <v>224</v>
      </c>
      <c r="Q50" s="165"/>
      <c r="R50" s="69"/>
      <c r="S50" s="165"/>
      <c r="AJ50" s="69"/>
    </row>
    <row r="51" spans="3:36" x14ac:dyDescent="0.25">
      <c r="E51" s="165"/>
      <c r="N51" s="165"/>
      <c r="O51" s="270">
        <v>43896</v>
      </c>
      <c r="P51" s="69" t="s">
        <v>250</v>
      </c>
      <c r="Q51" s="165"/>
      <c r="R51" s="69"/>
      <c r="S51" s="165"/>
    </row>
    <row r="52" spans="3:36" x14ac:dyDescent="0.25">
      <c r="C52" s="69"/>
      <c r="D52" s="69"/>
      <c r="E52" s="165"/>
      <c r="F52" s="69"/>
      <c r="G52" s="69"/>
      <c r="H52" s="69"/>
      <c r="I52" s="69"/>
      <c r="J52" s="69"/>
      <c r="K52" s="69"/>
      <c r="L52" s="69"/>
      <c r="M52" s="69"/>
      <c r="N52" s="165"/>
      <c r="O52" s="165">
        <v>43896</v>
      </c>
      <c r="P52" s="69" t="s">
        <v>261</v>
      </c>
      <c r="Q52" s="165"/>
      <c r="R52" s="69"/>
      <c r="S52" s="165"/>
      <c r="T52" s="69"/>
      <c r="U52" s="69"/>
      <c r="V52" s="69"/>
      <c r="W52" s="69"/>
      <c r="X52" s="69"/>
      <c r="Y52" s="69"/>
      <c r="Z52" s="69"/>
      <c r="AA52" s="69"/>
      <c r="AB52" s="69"/>
      <c r="AC52" s="69"/>
      <c r="AD52" s="69"/>
      <c r="AE52" s="69"/>
      <c r="AF52" s="69"/>
      <c r="AG52" s="69"/>
      <c r="AH52" s="69"/>
      <c r="AI52" s="69"/>
    </row>
    <row r="53" spans="3:36" x14ac:dyDescent="0.25">
      <c r="E53" s="165"/>
      <c r="N53" s="165"/>
      <c r="P53" s="270">
        <v>43899</v>
      </c>
      <c r="Q53" s="165" t="s">
        <v>225</v>
      </c>
      <c r="R53" s="69"/>
      <c r="S53" s="165"/>
    </row>
    <row r="54" spans="3:36" x14ac:dyDescent="0.25">
      <c r="E54" s="165"/>
      <c r="N54" s="165"/>
      <c r="P54" s="270">
        <v>43899</v>
      </c>
      <c r="Q54" s="165" t="s">
        <v>226</v>
      </c>
      <c r="R54" s="69"/>
      <c r="S54" s="165"/>
    </row>
    <row r="55" spans="3:36" x14ac:dyDescent="0.25">
      <c r="E55" s="165"/>
      <c r="N55" s="165"/>
      <c r="P55" s="270">
        <v>43900</v>
      </c>
      <c r="Q55" s="165" t="s">
        <v>227</v>
      </c>
      <c r="R55" s="69"/>
      <c r="S55" s="165"/>
      <c r="AF55" s="69"/>
      <c r="AG55" s="69"/>
      <c r="AH55" s="69"/>
      <c r="AI55" s="69"/>
    </row>
    <row r="56" spans="3:36" s="69" customFormat="1" x14ac:dyDescent="0.25">
      <c r="C56"/>
      <c r="D56"/>
      <c r="E56" s="165"/>
      <c r="F56"/>
      <c r="G56"/>
      <c r="H56"/>
      <c r="I56"/>
      <c r="J56"/>
      <c r="K56"/>
      <c r="L56"/>
      <c r="M56"/>
      <c r="N56" s="165"/>
      <c r="O56" s="165"/>
      <c r="Q56" s="271">
        <v>43901</v>
      </c>
      <c r="R56" s="69" t="s">
        <v>209</v>
      </c>
      <c r="S56" s="165"/>
      <c r="U56"/>
      <c r="V56"/>
      <c r="W56"/>
      <c r="X56"/>
      <c r="Y56"/>
      <c r="Z56"/>
      <c r="AA56"/>
      <c r="AB56"/>
      <c r="AC56"/>
      <c r="AD56"/>
      <c r="AE56"/>
      <c r="AF56"/>
      <c r="AG56"/>
      <c r="AH56"/>
      <c r="AI56"/>
      <c r="AJ56"/>
    </row>
    <row r="57" spans="3:36" x14ac:dyDescent="0.25">
      <c r="E57" s="165"/>
      <c r="N57" s="165"/>
      <c r="O57" s="165"/>
      <c r="P57" s="69"/>
      <c r="Q57" s="270">
        <v>43901</v>
      </c>
      <c r="R57" s="69" t="s">
        <v>260</v>
      </c>
      <c r="S57" s="165"/>
      <c r="T57" s="69"/>
    </row>
    <row r="58" spans="3:36" x14ac:dyDescent="0.25">
      <c r="E58" s="165"/>
      <c r="Q58" s="270">
        <v>43901</v>
      </c>
      <c r="R58" t="s">
        <v>232</v>
      </c>
    </row>
    <row r="59" spans="3:36" x14ac:dyDescent="0.25">
      <c r="C59" s="69"/>
      <c r="D59" s="69"/>
      <c r="E59" s="165"/>
      <c r="F59" s="69"/>
      <c r="G59" s="69"/>
      <c r="H59" s="69"/>
      <c r="I59" s="69"/>
      <c r="J59" s="69"/>
      <c r="K59" s="69"/>
      <c r="L59" s="69"/>
      <c r="M59" s="69"/>
      <c r="N59" s="165"/>
      <c r="O59" s="165"/>
      <c r="P59" s="69"/>
      <c r="Q59" s="165">
        <v>43902</v>
      </c>
      <c r="R59" s="69" t="s">
        <v>253</v>
      </c>
      <c r="S59" s="165"/>
      <c r="T59" s="69"/>
      <c r="U59" s="69"/>
      <c r="V59" s="69"/>
      <c r="W59" s="69"/>
      <c r="X59" s="69"/>
      <c r="Y59" s="69"/>
      <c r="Z59" s="69"/>
      <c r="AA59" s="69"/>
      <c r="AB59" s="69"/>
      <c r="AC59" s="69"/>
      <c r="AD59" s="69"/>
      <c r="AE59" s="69"/>
      <c r="AF59" s="69"/>
      <c r="AG59" s="69"/>
      <c r="AH59" s="69"/>
      <c r="AI59" s="69"/>
    </row>
    <row r="60" spans="3:36" x14ac:dyDescent="0.25">
      <c r="E60" s="165"/>
      <c r="Q60" s="270">
        <v>43902</v>
      </c>
      <c r="R60" t="s">
        <v>228</v>
      </c>
    </row>
    <row r="61" spans="3:36" x14ac:dyDescent="0.25">
      <c r="E61" s="165"/>
      <c r="Q61" s="158">
        <v>43903</v>
      </c>
      <c r="R61" s="159" t="s">
        <v>182</v>
      </c>
      <c r="S61" s="159"/>
      <c r="T61" s="159"/>
      <c r="U61" s="159"/>
      <c r="V61" s="159"/>
      <c r="W61" s="159"/>
      <c r="X61" s="159"/>
      <c r="Y61" s="159"/>
      <c r="Z61" s="159"/>
      <c r="AA61" s="159"/>
      <c r="AB61" s="159"/>
      <c r="AC61" s="159"/>
    </row>
    <row r="62" spans="3:36" x14ac:dyDescent="0.25">
      <c r="E62" s="165"/>
      <c r="Q62" s="270">
        <v>43903</v>
      </c>
      <c r="R62" t="s">
        <v>229</v>
      </c>
      <c r="AJ62" s="69"/>
    </row>
    <row r="63" spans="3:36" x14ac:dyDescent="0.25">
      <c r="E63" s="165"/>
      <c r="Q63" s="270">
        <v>43903</v>
      </c>
      <c r="R63" t="s">
        <v>230</v>
      </c>
    </row>
    <row r="64" spans="3:36" x14ac:dyDescent="0.25">
      <c r="C64" s="69"/>
      <c r="D64" s="69"/>
      <c r="E64" s="165"/>
      <c r="F64" s="69"/>
      <c r="G64" s="69"/>
      <c r="H64" s="69"/>
      <c r="I64" s="69"/>
      <c r="J64" s="69"/>
      <c r="K64" s="69"/>
      <c r="L64" s="69"/>
      <c r="M64" s="69"/>
      <c r="N64" s="69"/>
      <c r="O64" s="69"/>
      <c r="P64" s="69"/>
      <c r="Q64" s="165">
        <v>43903</v>
      </c>
      <c r="R64" s="69" t="s">
        <v>272</v>
      </c>
      <c r="S64" s="69"/>
      <c r="T64" s="69"/>
      <c r="U64" s="69"/>
      <c r="V64" s="69"/>
      <c r="W64" s="69"/>
      <c r="X64" s="69"/>
      <c r="Y64" s="69"/>
      <c r="Z64" s="69"/>
      <c r="AA64" s="69"/>
      <c r="AB64" s="69"/>
      <c r="AC64" s="69"/>
      <c r="AD64" s="69"/>
      <c r="AE64" s="69"/>
      <c r="AF64" s="69"/>
      <c r="AG64" s="69"/>
      <c r="AH64" s="69"/>
      <c r="AI64" s="69"/>
    </row>
    <row r="65" spans="3:36" x14ac:dyDescent="0.25">
      <c r="D65" s="165"/>
      <c r="M65" s="69"/>
      <c r="N65" s="165"/>
      <c r="O65" s="69"/>
      <c r="P65" s="69"/>
      <c r="Q65" s="69"/>
      <c r="R65" s="158">
        <v>43904</v>
      </c>
      <c r="S65" s="159" t="s">
        <v>177</v>
      </c>
      <c r="T65" s="159"/>
      <c r="U65" s="158"/>
      <c r="V65" s="158"/>
      <c r="W65" s="159"/>
      <c r="X65" s="158">
        <v>43918</v>
      </c>
      <c r="AJ65" s="69"/>
    </row>
    <row r="66" spans="3:36" x14ac:dyDescent="0.25">
      <c r="D66" s="69"/>
      <c r="E66" s="69"/>
      <c r="F66" s="165"/>
      <c r="G66" s="165"/>
      <c r="H66" s="165"/>
      <c r="I66" s="165"/>
      <c r="J66" s="165"/>
      <c r="K66" s="165"/>
      <c r="L66" s="69"/>
      <c r="M66" s="69"/>
      <c r="R66" s="69"/>
      <c r="S66" s="159" t="s">
        <v>183</v>
      </c>
      <c r="T66" s="159"/>
      <c r="U66" s="159"/>
      <c r="V66" s="159"/>
      <c r="W66" s="159"/>
      <c r="X66" s="159"/>
      <c r="Y66" s="159"/>
      <c r="Z66" s="159"/>
      <c r="AA66" s="159"/>
      <c r="AB66" s="159"/>
      <c r="AC66" s="159"/>
    </row>
    <row r="67" spans="3:36" x14ac:dyDescent="0.25">
      <c r="D67" s="69"/>
      <c r="E67" s="69"/>
      <c r="F67" s="69"/>
      <c r="G67" s="69"/>
      <c r="H67" s="69"/>
      <c r="I67" s="69"/>
      <c r="J67" s="69"/>
      <c r="K67" s="69"/>
      <c r="L67" s="165"/>
      <c r="M67" s="69"/>
      <c r="N67" s="69"/>
      <c r="O67" s="69"/>
      <c r="P67" s="165"/>
      <c r="S67" s="270">
        <v>43907</v>
      </c>
      <c r="T67" t="s">
        <v>208</v>
      </c>
    </row>
    <row r="68" spans="3:36" s="69" customFormat="1" x14ac:dyDescent="0.25">
      <c r="C68"/>
      <c r="D68"/>
      <c r="E68"/>
      <c r="F68"/>
      <c r="G68"/>
      <c r="H68"/>
      <c r="I68"/>
      <c r="J68"/>
      <c r="K68"/>
      <c r="L68"/>
      <c r="M68"/>
      <c r="N68"/>
      <c r="O68"/>
      <c r="P68"/>
      <c r="Q68"/>
      <c r="R68"/>
      <c r="S68"/>
      <c r="T68" s="158">
        <v>43908</v>
      </c>
      <c r="U68" s="159" t="s">
        <v>178</v>
      </c>
      <c r="V68" s="159"/>
      <c r="W68" s="158"/>
      <c r="X68" s="158">
        <v>43922</v>
      </c>
      <c r="Y68"/>
      <c r="Z68"/>
      <c r="AA68"/>
      <c r="AB68"/>
      <c r="AC68"/>
      <c r="AD68"/>
      <c r="AE68"/>
      <c r="AF68"/>
      <c r="AG68"/>
      <c r="AH68"/>
      <c r="AI68"/>
      <c r="AJ68"/>
    </row>
    <row r="69" spans="3:36" x14ac:dyDescent="0.25">
      <c r="T69" s="270">
        <v>43908</v>
      </c>
      <c r="U69" s="69" t="s">
        <v>254</v>
      </c>
      <c r="V69" s="69"/>
      <c r="W69" s="165"/>
      <c r="X69" s="165"/>
      <c r="AJ69" s="69"/>
    </row>
    <row r="70" spans="3:36" x14ac:dyDescent="0.25">
      <c r="T70" s="270">
        <v>43909</v>
      </c>
      <c r="U70" s="69" t="s">
        <v>245</v>
      </c>
      <c r="V70" s="69"/>
      <c r="W70" s="165"/>
      <c r="X70" s="165"/>
      <c r="Y70" s="69"/>
      <c r="Z70" s="69"/>
      <c r="AA70" s="69"/>
      <c r="AB70" s="69"/>
    </row>
    <row r="71" spans="3:36" s="69" customFormat="1" x14ac:dyDescent="0.25">
      <c r="C71"/>
      <c r="D71"/>
      <c r="E71"/>
      <c r="F71"/>
      <c r="G71"/>
      <c r="H71"/>
      <c r="I71"/>
      <c r="J71"/>
      <c r="K71"/>
      <c r="L71"/>
      <c r="M71"/>
      <c r="N71"/>
      <c r="O71"/>
      <c r="P71"/>
      <c r="Q71"/>
      <c r="R71"/>
      <c r="S71"/>
      <c r="T71"/>
      <c r="U71" s="158">
        <v>43910</v>
      </c>
      <c r="V71" s="159" t="s">
        <v>179</v>
      </c>
      <c r="W71" s="159"/>
      <c r="X71" s="159"/>
      <c r="Y71" s="158">
        <v>43924</v>
      </c>
      <c r="Z71"/>
      <c r="AA71"/>
      <c r="AB71"/>
      <c r="AC71"/>
      <c r="AD71"/>
      <c r="AE71"/>
      <c r="AF71"/>
      <c r="AG71"/>
      <c r="AH71"/>
      <c r="AI71"/>
      <c r="AJ71"/>
    </row>
    <row r="72" spans="3:36" x14ac:dyDescent="0.25">
      <c r="V72" s="158">
        <v>43914</v>
      </c>
      <c r="W72" s="159" t="s">
        <v>180</v>
      </c>
      <c r="X72" s="159"/>
      <c r="Y72" s="158">
        <v>43928</v>
      </c>
    </row>
    <row r="73" spans="3:36" x14ac:dyDescent="0.25">
      <c r="V73" s="270">
        <v>43914</v>
      </c>
      <c r="W73" t="s">
        <v>251</v>
      </c>
    </row>
    <row r="74" spans="3:36" x14ac:dyDescent="0.25">
      <c r="C74" s="69"/>
      <c r="D74" s="69"/>
      <c r="E74" s="69"/>
      <c r="F74" s="69"/>
      <c r="G74" s="69"/>
      <c r="H74" s="69"/>
      <c r="I74" s="69"/>
      <c r="J74" s="69"/>
      <c r="K74" s="69"/>
      <c r="L74" s="69"/>
      <c r="M74" s="69"/>
      <c r="N74" s="69"/>
      <c r="O74" s="69"/>
      <c r="P74" s="69"/>
      <c r="Q74" s="69"/>
      <c r="R74" s="69"/>
      <c r="S74" s="69"/>
      <c r="T74" s="69"/>
      <c r="U74" s="69"/>
      <c r="V74" s="165"/>
      <c r="W74" s="217">
        <v>43917</v>
      </c>
      <c r="X74" s="217" t="s">
        <v>233</v>
      </c>
      <c r="Z74" s="69"/>
      <c r="AA74" s="69"/>
      <c r="AB74" s="69"/>
      <c r="AC74" s="69"/>
      <c r="AD74" s="69"/>
      <c r="AE74" s="69"/>
      <c r="AF74" s="69"/>
      <c r="AG74" s="69"/>
      <c r="AH74" s="69"/>
      <c r="AI74" s="69"/>
      <c r="AJ74" s="69"/>
    </row>
    <row r="75" spans="3:36" s="69" customFormat="1" x14ac:dyDescent="0.25">
      <c r="V75" s="165"/>
      <c r="W75" s="270">
        <v>43917</v>
      </c>
      <c r="X75" t="s">
        <v>262</v>
      </c>
      <c r="AJ75"/>
    </row>
    <row r="76" spans="3:36" x14ac:dyDescent="0.25">
      <c r="T76" s="236"/>
      <c r="U76" s="165"/>
      <c r="X76" s="271">
        <v>43918</v>
      </c>
      <c r="Y76" t="s">
        <v>259</v>
      </c>
      <c r="AF76" s="217"/>
    </row>
    <row r="77" spans="3:36" x14ac:dyDescent="0.25">
      <c r="X77" s="270">
        <v>43920</v>
      </c>
      <c r="Y77" t="s">
        <v>268</v>
      </c>
    </row>
    <row r="78" spans="3:36" x14ac:dyDescent="0.25">
      <c r="Y78" s="270">
        <v>43923</v>
      </c>
      <c r="Z78" s="69" t="s">
        <v>263</v>
      </c>
      <c r="AA78" s="69"/>
      <c r="AC78" s="69"/>
    </row>
    <row r="79" spans="3:36" x14ac:dyDescent="0.25">
      <c r="X79" s="217"/>
      <c r="Y79" s="158">
        <v>43924</v>
      </c>
      <c r="Z79" s="159" t="s">
        <v>234</v>
      </c>
      <c r="AA79" s="158">
        <v>43938</v>
      </c>
    </row>
    <row r="80" spans="3:36" s="69" customFormat="1" x14ac:dyDescent="0.25">
      <c r="X80" s="217"/>
      <c r="Y80" s="270">
        <v>43925</v>
      </c>
      <c r="Z80" t="s">
        <v>236</v>
      </c>
      <c r="AA80"/>
      <c r="AB80"/>
      <c r="AC80"/>
      <c r="AJ80"/>
    </row>
    <row r="81" spans="1:36" x14ac:dyDescent="0.25">
      <c r="C81" s="69"/>
      <c r="D81" s="69"/>
      <c r="E81" s="69"/>
      <c r="F81" s="69"/>
      <c r="G81" s="69"/>
      <c r="H81" s="69"/>
      <c r="I81" s="69"/>
      <c r="J81" s="69"/>
      <c r="K81" s="69"/>
      <c r="L81" s="69"/>
      <c r="M81" s="69"/>
      <c r="N81" s="69"/>
      <c r="O81" s="69"/>
      <c r="P81" s="69"/>
      <c r="Q81" s="69"/>
      <c r="R81" s="69"/>
      <c r="S81" s="69"/>
      <c r="T81" s="69"/>
      <c r="U81" s="69"/>
      <c r="V81" s="69"/>
      <c r="W81" s="69"/>
      <c r="X81" s="217"/>
      <c r="Z81" s="270">
        <v>43932</v>
      </c>
      <c r="AA81" t="s">
        <v>246</v>
      </c>
      <c r="AD81" s="69"/>
      <c r="AE81" s="69"/>
      <c r="AF81" s="69"/>
      <c r="AG81" s="69"/>
      <c r="AH81" s="69"/>
      <c r="AI81" s="69"/>
    </row>
    <row r="82" spans="1:36" x14ac:dyDescent="0.25">
      <c r="Z82" s="270">
        <v>43934</v>
      </c>
      <c r="AA82" t="s">
        <v>237</v>
      </c>
    </row>
    <row r="83" spans="1:36" x14ac:dyDescent="0.25">
      <c r="Z83" s="217">
        <v>43935</v>
      </c>
      <c r="AA83" t="s">
        <v>264</v>
      </c>
    </row>
    <row r="84" spans="1:36" x14ac:dyDescent="0.25">
      <c r="Z84" s="270">
        <v>43936</v>
      </c>
      <c r="AA84" s="69" t="s">
        <v>265</v>
      </c>
      <c r="AJ84" s="69"/>
    </row>
    <row r="85" spans="1:36" x14ac:dyDescent="0.25">
      <c r="Z85" s="270">
        <v>43936</v>
      </c>
      <c r="AA85" t="s">
        <v>273</v>
      </c>
      <c r="AJ85" s="69"/>
    </row>
    <row r="86" spans="1:36" x14ac:dyDescent="0.25">
      <c r="Z86" s="270">
        <v>43936</v>
      </c>
      <c r="AA86" t="s">
        <v>271</v>
      </c>
      <c r="AJ86" s="69"/>
    </row>
    <row r="87" spans="1:36" x14ac:dyDescent="0.25">
      <c r="Z87" s="217">
        <v>43936</v>
      </c>
      <c r="AA87" t="s">
        <v>267</v>
      </c>
    </row>
    <row r="88" spans="1:36" x14ac:dyDescent="0.25">
      <c r="Z88" s="270">
        <v>43937</v>
      </c>
      <c r="AA88" t="s">
        <v>266</v>
      </c>
    </row>
    <row r="89" spans="1:36" x14ac:dyDescent="0.25">
      <c r="Z89" s="270">
        <v>43938</v>
      </c>
      <c r="AA89" t="s">
        <v>270</v>
      </c>
    </row>
    <row r="90" spans="1:36" x14ac:dyDescent="0.25">
      <c r="Z90" s="270">
        <v>43938</v>
      </c>
      <c r="AA90" t="s">
        <v>269</v>
      </c>
    </row>
    <row r="91" spans="1:36" s="69" customFormat="1" x14ac:dyDescent="0.25">
      <c r="Z91" s="270">
        <v>43939</v>
      </c>
      <c r="AA91" s="69" t="s">
        <v>276</v>
      </c>
    </row>
    <row r="92" spans="1:36" s="69" customFormat="1" x14ac:dyDescent="0.25"/>
    <row r="94" spans="1:36" x14ac:dyDescent="0.25">
      <c r="A94" s="4" t="s">
        <v>196</v>
      </c>
      <c r="B94" s="221">
        <v>330565500</v>
      </c>
      <c r="C94" t="s">
        <v>175</v>
      </c>
      <c r="D94" s="69"/>
      <c r="E94" s="69"/>
      <c r="F94" s="69"/>
      <c r="G94" s="69"/>
      <c r="H94" s="69"/>
      <c r="I94" s="69"/>
      <c r="J94" s="69"/>
      <c r="K94" s="69"/>
      <c r="L94" s="69"/>
      <c r="M94" s="69"/>
      <c r="N94" s="165"/>
      <c r="O94" s="69"/>
      <c r="P94" s="69"/>
      <c r="Q94" s="69"/>
    </row>
    <row r="95" spans="1:36" s="69" customFormat="1" x14ac:dyDescent="0.25">
      <c r="A95" s="62"/>
      <c r="B95" s="169"/>
      <c r="N95" s="165"/>
      <c r="T95"/>
      <c r="U95"/>
      <c r="V95"/>
      <c r="W95"/>
    </row>
    <row r="96" spans="1:36" x14ac:dyDescent="0.25">
      <c r="A96" s="4" t="s">
        <v>115</v>
      </c>
      <c r="B96" s="155">
        <v>0.12</v>
      </c>
      <c r="C96" t="s">
        <v>114</v>
      </c>
      <c r="D96" s="69"/>
      <c r="E96" s="69"/>
      <c r="F96" s="69"/>
      <c r="G96" s="69"/>
      <c r="H96" s="69"/>
      <c r="I96" s="69"/>
      <c r="J96" s="69"/>
      <c r="K96" s="69"/>
      <c r="L96" s="69"/>
      <c r="M96" s="69"/>
      <c r="N96" s="69"/>
      <c r="O96" s="165"/>
      <c r="P96" s="69"/>
      <c r="Q96" s="165"/>
      <c r="T96" s="198"/>
      <c r="U96" s="16"/>
    </row>
    <row r="97" spans="1:44" x14ac:dyDescent="0.25">
      <c r="A97" s="37" t="s">
        <v>117</v>
      </c>
      <c r="B97" s="114">
        <v>7.0000000000000007E-2</v>
      </c>
      <c r="C97" s="248"/>
      <c r="D97" s="69"/>
      <c r="E97" s="69"/>
      <c r="F97" s="69"/>
      <c r="G97" s="69"/>
      <c r="H97" s="69"/>
      <c r="I97" s="69"/>
      <c r="J97" s="69"/>
      <c r="K97" s="69"/>
      <c r="L97" s="69"/>
      <c r="M97" s="69"/>
      <c r="N97" s="69"/>
      <c r="O97" s="69"/>
      <c r="P97" s="165"/>
      <c r="Q97" s="165"/>
      <c r="R97" s="69"/>
      <c r="S97" s="69"/>
      <c r="T97" s="16"/>
      <c r="U97" s="16"/>
    </row>
    <row r="98" spans="1:44" x14ac:dyDescent="0.25">
      <c r="A98" s="4" t="s">
        <v>184</v>
      </c>
      <c r="B98" s="249">
        <v>2.4</v>
      </c>
      <c r="C98" s="64">
        <f>(B94/1000)*B98</f>
        <v>793357.2</v>
      </c>
      <c r="D98" s="69"/>
      <c r="E98" s="69"/>
      <c r="F98" s="69"/>
      <c r="G98" s="69"/>
      <c r="H98" s="69"/>
      <c r="I98" s="69"/>
      <c r="J98" s="69"/>
      <c r="K98" s="69"/>
      <c r="L98" s="69"/>
      <c r="M98" s="69"/>
      <c r="N98" s="69"/>
      <c r="O98" s="69"/>
      <c r="P98" s="69"/>
      <c r="Q98" s="69"/>
      <c r="R98" s="69"/>
      <c r="S98" s="69"/>
      <c r="T98" s="16"/>
      <c r="U98" s="16"/>
      <c r="W98" s="217"/>
    </row>
    <row r="99" spans="1:44" x14ac:dyDescent="0.25">
      <c r="A99" s="37" t="s">
        <v>185</v>
      </c>
      <c r="B99" s="250">
        <v>34.700000000000003</v>
      </c>
      <c r="C99" s="61">
        <f>(B94/100000)*B99</f>
        <v>114706.22850000001</v>
      </c>
      <c r="D99" s="69"/>
      <c r="E99" s="69"/>
      <c r="F99" s="69"/>
      <c r="G99" s="69"/>
      <c r="H99" s="69"/>
      <c r="I99" s="69"/>
      <c r="J99" s="69"/>
      <c r="K99" s="69"/>
      <c r="L99" s="69"/>
      <c r="M99" s="69"/>
      <c r="N99" s="69"/>
      <c r="O99" s="69"/>
      <c r="P99" s="69"/>
      <c r="Q99" s="69"/>
      <c r="R99" s="150"/>
      <c r="S99" s="69"/>
    </row>
    <row r="100" spans="1:44" x14ac:dyDescent="0.25">
      <c r="A100" s="4" t="s">
        <v>74</v>
      </c>
      <c r="B100" s="112">
        <v>0.81</v>
      </c>
      <c r="C100" s="2"/>
      <c r="D100" s="69"/>
      <c r="E100" s="69"/>
      <c r="F100" s="69"/>
      <c r="G100" s="69"/>
      <c r="H100" s="69"/>
      <c r="I100" s="69"/>
      <c r="J100" s="69"/>
      <c r="K100" s="69"/>
      <c r="L100" s="69"/>
      <c r="M100" s="69"/>
      <c r="N100" s="69"/>
      <c r="O100" s="69"/>
      <c r="P100" s="69"/>
      <c r="Q100" s="69"/>
    </row>
    <row r="101" spans="1:44" x14ac:dyDescent="0.25">
      <c r="A101" s="41" t="s">
        <v>75</v>
      </c>
      <c r="B101" s="113">
        <v>0.14000000000000001</v>
      </c>
      <c r="C101" s="2"/>
      <c r="D101" s="69"/>
      <c r="E101" s="69"/>
      <c r="F101" s="69"/>
      <c r="G101" s="69"/>
      <c r="H101" s="69"/>
      <c r="I101" s="69"/>
      <c r="J101" s="69"/>
      <c r="K101" s="69"/>
      <c r="L101" s="69"/>
      <c r="M101" s="69"/>
      <c r="N101" s="69"/>
      <c r="O101" s="69"/>
      <c r="P101" s="69"/>
      <c r="Q101" s="47"/>
      <c r="R101" s="69"/>
      <c r="S101" s="165"/>
      <c r="AG101" s="255"/>
    </row>
    <row r="102" spans="1:44" x14ac:dyDescent="0.25">
      <c r="A102" s="37" t="s">
        <v>110</v>
      </c>
      <c r="B102" s="114">
        <v>0.05</v>
      </c>
      <c r="C102" s="2"/>
      <c r="D102" s="212" t="s">
        <v>171</v>
      </c>
      <c r="P102" s="16"/>
      <c r="Q102" s="16"/>
      <c r="R102" s="259"/>
      <c r="S102" s="16"/>
      <c r="AD102" s="217"/>
      <c r="AH102" s="175"/>
      <c r="AI102" s="175"/>
      <c r="AJ102" s="175"/>
      <c r="AK102" s="175"/>
      <c r="AL102" s="175"/>
      <c r="AM102" s="175"/>
    </row>
    <row r="103" spans="1:44" x14ac:dyDescent="0.25">
      <c r="A103" s="37" t="s">
        <v>116</v>
      </c>
      <c r="B103" s="65">
        <v>5.2999999999999999E-2</v>
      </c>
      <c r="C103" s="2"/>
      <c r="D103" s="179" t="s">
        <v>163</v>
      </c>
      <c r="Q103" s="16"/>
      <c r="R103" s="16"/>
      <c r="S103" s="16"/>
      <c r="AG103" s="176"/>
    </row>
    <row r="104" spans="1:44" x14ac:dyDescent="0.25">
      <c r="A104" s="153" t="s">
        <v>103</v>
      </c>
      <c r="B104" s="154">
        <v>43851</v>
      </c>
      <c r="C104" s="2"/>
      <c r="D104" s="256">
        <f>(AH107-L107)/(LOG(AH108/L108)/LOG(2))</f>
        <v>11.578947368421053</v>
      </c>
      <c r="E104" s="175"/>
      <c r="O104" s="16"/>
      <c r="P104" s="16"/>
      <c r="Q104" s="16"/>
      <c r="R104" s="16"/>
      <c r="S104" s="16"/>
    </row>
    <row r="105" spans="1:44" x14ac:dyDescent="0.25">
      <c r="A105" s="16"/>
      <c r="B105" s="50" t="s">
        <v>54</v>
      </c>
      <c r="C105" s="10"/>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O105" s="152"/>
    </row>
    <row r="106" spans="1:44" x14ac:dyDescent="0.25">
      <c r="A106" s="53" t="s">
        <v>41</v>
      </c>
      <c r="B106" s="192">
        <v>43882</v>
      </c>
      <c r="C106" s="192">
        <v>43890</v>
      </c>
      <c r="D106" s="192">
        <v>43893</v>
      </c>
      <c r="E106" s="192">
        <v>43895</v>
      </c>
      <c r="F106" s="192">
        <v>43904</v>
      </c>
      <c r="G106" s="192">
        <v>43912</v>
      </c>
      <c r="H106" s="192">
        <v>43918</v>
      </c>
      <c r="I106" s="192">
        <v>43923</v>
      </c>
      <c r="J106" s="192">
        <v>43932</v>
      </c>
      <c r="K106" s="192"/>
      <c r="M106" s="133" t="s">
        <v>176</v>
      </c>
      <c r="N106" s="16"/>
      <c r="O106" s="16"/>
      <c r="P106" s="16"/>
      <c r="Q106" s="16"/>
      <c r="R106" s="16"/>
      <c r="S106" s="16"/>
      <c r="T106" s="16"/>
      <c r="U106" s="182"/>
      <c r="V106" s="16"/>
      <c r="W106" s="16"/>
      <c r="X106" s="16"/>
      <c r="Y106" s="16" t="s">
        <v>186</v>
      </c>
      <c r="AE106" s="16"/>
      <c r="AF106" s="16"/>
      <c r="AI106" s="212" t="s">
        <v>172</v>
      </c>
      <c r="AO106" s="252" t="s">
        <v>195</v>
      </c>
    </row>
    <row r="107" spans="1:44" x14ac:dyDescent="0.25">
      <c r="A107" s="4" t="s">
        <v>11</v>
      </c>
      <c r="B107" s="84">
        <v>8</v>
      </c>
      <c r="C107" s="157">
        <v>3</v>
      </c>
      <c r="D107" s="258">
        <v>2</v>
      </c>
      <c r="E107" s="157">
        <v>3</v>
      </c>
      <c r="F107" s="258">
        <v>2</v>
      </c>
      <c r="G107" s="157">
        <v>3</v>
      </c>
      <c r="H107" s="156">
        <v>5</v>
      </c>
      <c r="I107" s="257">
        <v>9</v>
      </c>
      <c r="J107">
        <v>34</v>
      </c>
      <c r="K107" s="220"/>
      <c r="L107" s="277">
        <v>43882</v>
      </c>
      <c r="M107" s="278">
        <f t="shared" ref="M107:AN107" si="0">L107+HLOOKUP(L107+1, $B$106:$K$107,2,TRUE)</f>
        <v>43890</v>
      </c>
      <c r="N107" s="279">
        <f t="shared" si="0"/>
        <v>43893</v>
      </c>
      <c r="O107" s="278">
        <f t="shared" si="0"/>
        <v>43895</v>
      </c>
      <c r="P107" s="278">
        <f t="shared" si="0"/>
        <v>43898</v>
      </c>
      <c r="Q107" s="278">
        <f t="shared" si="0"/>
        <v>43901</v>
      </c>
      <c r="R107" s="279">
        <f t="shared" si="0"/>
        <v>43904</v>
      </c>
      <c r="S107" s="279">
        <f t="shared" si="0"/>
        <v>43906</v>
      </c>
      <c r="T107" s="279">
        <f t="shared" si="0"/>
        <v>43908</v>
      </c>
      <c r="U107" s="279">
        <f t="shared" si="0"/>
        <v>43910</v>
      </c>
      <c r="V107" s="278">
        <f t="shared" si="0"/>
        <v>43912</v>
      </c>
      <c r="W107" s="280">
        <f t="shared" si="0"/>
        <v>43915</v>
      </c>
      <c r="X107" s="280">
        <f t="shared" si="0"/>
        <v>43918</v>
      </c>
      <c r="Y107" s="281">
        <f t="shared" si="0"/>
        <v>43923</v>
      </c>
      <c r="Z107" s="282">
        <f t="shared" si="0"/>
        <v>43932</v>
      </c>
      <c r="AA107" s="283">
        <f>$Z$107+(($AD$107-$Z$107)*0.25)</f>
        <v>43940.5</v>
      </c>
      <c r="AB107" s="276">
        <f>$Z$107+(($AD$107-$Z$107)*0.5)</f>
        <v>43949</v>
      </c>
      <c r="AC107" s="276">
        <f>$Z$107+(($AD$107-$Z$107)*0.75)</f>
        <v>43957.5</v>
      </c>
      <c r="AD107" s="228">
        <f>Z107+HLOOKUP(Z107+1, $B$106:$K$107,2,TRUE)</f>
        <v>43966</v>
      </c>
      <c r="AE107" s="228">
        <f t="shared" si="0"/>
        <v>44000</v>
      </c>
      <c r="AF107" s="228">
        <f t="shared" si="0"/>
        <v>44034</v>
      </c>
      <c r="AG107" s="228">
        <f t="shared" si="0"/>
        <v>44068</v>
      </c>
      <c r="AH107" s="237">
        <f t="shared" si="0"/>
        <v>44102</v>
      </c>
      <c r="AI107" s="228">
        <f t="shared" si="0"/>
        <v>44136</v>
      </c>
      <c r="AJ107" s="228">
        <f t="shared" si="0"/>
        <v>44170</v>
      </c>
      <c r="AK107" s="228">
        <f t="shared" si="0"/>
        <v>44204</v>
      </c>
      <c r="AL107" s="228">
        <f t="shared" si="0"/>
        <v>44238</v>
      </c>
      <c r="AM107" s="237">
        <f t="shared" si="0"/>
        <v>44272</v>
      </c>
      <c r="AN107" s="237">
        <f t="shared" si="0"/>
        <v>44306</v>
      </c>
      <c r="AO107" s="251">
        <f>AN107+(7*8)</f>
        <v>44362</v>
      </c>
      <c r="AP107" s="70"/>
      <c r="AQ107" s="70"/>
      <c r="AR107" s="69"/>
    </row>
    <row r="108" spans="1:44" x14ac:dyDescent="0.25">
      <c r="A108" s="41" t="s">
        <v>108</v>
      </c>
      <c r="B108" s="16"/>
      <c r="C108" s="16"/>
      <c r="D108" s="16"/>
      <c r="E108" s="16"/>
      <c r="F108" s="16"/>
      <c r="G108" s="16"/>
      <c r="H108" s="16"/>
      <c r="I108" s="16"/>
      <c r="J108" s="16"/>
      <c r="K108" s="16"/>
      <c r="L108" s="273">
        <v>31.25</v>
      </c>
      <c r="M108" s="274">
        <f>L108*2</f>
        <v>62.5</v>
      </c>
      <c r="N108" s="274">
        <f t="shared" ref="N108:AE108" si="1">M108*2</f>
        <v>125</v>
      </c>
      <c r="O108" s="274">
        <f t="shared" si="1"/>
        <v>250</v>
      </c>
      <c r="P108" s="274">
        <f t="shared" si="1"/>
        <v>500</v>
      </c>
      <c r="Q108" s="274">
        <f t="shared" si="1"/>
        <v>1000</v>
      </c>
      <c r="R108" s="274">
        <f t="shared" si="1"/>
        <v>2000</v>
      </c>
      <c r="S108" s="274">
        <f t="shared" si="1"/>
        <v>4000</v>
      </c>
      <c r="T108" s="274">
        <f t="shared" si="1"/>
        <v>8000</v>
      </c>
      <c r="U108" s="274">
        <f>T108*2</f>
        <v>16000</v>
      </c>
      <c r="V108" s="274">
        <f>U108*2</f>
        <v>32000</v>
      </c>
      <c r="W108" s="274">
        <f>V108*2</f>
        <v>64000</v>
      </c>
      <c r="X108" s="274">
        <f>W108*2</f>
        <v>128000</v>
      </c>
      <c r="Y108" s="274">
        <f t="shared" si="1"/>
        <v>256000</v>
      </c>
      <c r="Z108" s="274">
        <f t="shared" si="1"/>
        <v>512000</v>
      </c>
      <c r="AA108" s="274">
        <f>$Z$108+(($AD$108-$Z$108)*0.5)</f>
        <v>768000</v>
      </c>
      <c r="AB108" s="274">
        <f>$Z$108+(($AD$108-$Z$108)*0.75)</f>
        <v>896000</v>
      </c>
      <c r="AC108" s="274">
        <f>$Z$108+(($AD$108-$Z$108)*0.88)</f>
        <v>962560</v>
      </c>
      <c r="AD108" s="274">
        <f>Z108*2</f>
        <v>1024000</v>
      </c>
      <c r="AE108" s="274">
        <f t="shared" si="1"/>
        <v>2048000</v>
      </c>
      <c r="AF108" s="274">
        <f>AE108*2</f>
        <v>4096000</v>
      </c>
      <c r="AG108" s="274">
        <f>AF108*2</f>
        <v>8192000</v>
      </c>
      <c r="AH108" s="275">
        <f>AG108*2</f>
        <v>16384000</v>
      </c>
      <c r="AI108" s="238">
        <f t="shared" ref="AI108:AL108" si="2">AH108*2</f>
        <v>32768000</v>
      </c>
      <c r="AJ108" s="208">
        <f t="shared" si="2"/>
        <v>65536000</v>
      </c>
      <c r="AK108" s="208">
        <f t="shared" si="2"/>
        <v>131072000</v>
      </c>
      <c r="AL108" s="208">
        <f t="shared" si="2"/>
        <v>262144000</v>
      </c>
      <c r="AM108" s="209">
        <f>B94</f>
        <v>330565500</v>
      </c>
      <c r="AN108" s="199">
        <f>B94</f>
        <v>330565500</v>
      </c>
      <c r="AO108" s="242">
        <f>B94*AO109</f>
        <v>23139585.000000004</v>
      </c>
      <c r="AP108" s="45"/>
      <c r="AQ108" s="45"/>
      <c r="AR108" s="69"/>
    </row>
    <row r="109" spans="1:44" x14ac:dyDescent="0.25">
      <c r="A109" s="41" t="s">
        <v>109</v>
      </c>
      <c r="B109" s="16"/>
      <c r="C109" s="16"/>
      <c r="D109" s="16"/>
      <c r="E109" s="16"/>
      <c r="F109" s="16"/>
      <c r="G109" s="16"/>
      <c r="H109" s="16"/>
      <c r="I109" s="16"/>
      <c r="J109" s="16"/>
      <c r="K109" s="16"/>
      <c r="L109" s="218">
        <f t="shared" ref="L109:AE109" si="3">L108/$B$94</f>
        <v>9.453497113280122E-8</v>
      </c>
      <c r="M109" s="219">
        <f t="shared" si="3"/>
        <v>1.8906994226560244E-7</v>
      </c>
      <c r="N109" s="219">
        <f t="shared" si="3"/>
        <v>3.7813988453120488E-7</v>
      </c>
      <c r="O109" s="196">
        <f t="shared" si="3"/>
        <v>7.5627976906240976E-7</v>
      </c>
      <c r="P109" s="196">
        <f t="shared" si="3"/>
        <v>1.5125595381248195E-6</v>
      </c>
      <c r="Q109" s="196">
        <f t="shared" si="3"/>
        <v>3.025119076249639E-6</v>
      </c>
      <c r="R109" s="196">
        <f t="shared" si="3"/>
        <v>6.0502381524992781E-6</v>
      </c>
      <c r="S109" s="66">
        <f t="shared" si="3"/>
        <v>1.2100476304998556E-5</v>
      </c>
      <c r="T109" s="36">
        <f t="shared" si="3"/>
        <v>2.4200952609997112E-5</v>
      </c>
      <c r="U109" s="36">
        <f>U108/$B$94</f>
        <v>4.8401905219994225E-5</v>
      </c>
      <c r="V109" s="36">
        <f>V108/$B$94</f>
        <v>9.6803810439988449E-5</v>
      </c>
      <c r="W109" s="36">
        <f>W108/$B$94</f>
        <v>1.936076208799769E-4</v>
      </c>
      <c r="X109" s="36">
        <f>X108/$B$94</f>
        <v>3.872152417599538E-4</v>
      </c>
      <c r="Y109" s="14">
        <f t="shared" si="3"/>
        <v>7.7443048351990759E-4</v>
      </c>
      <c r="Z109" s="14">
        <f t="shared" si="3"/>
        <v>1.5488609670398152E-3</v>
      </c>
      <c r="AA109" s="14">
        <f t="shared" ref="AA109:AC109" si="4">AA108/$B$94</f>
        <v>2.3232914505597227E-3</v>
      </c>
      <c r="AB109" s="14">
        <f t="shared" si="4"/>
        <v>2.7105066923196765E-3</v>
      </c>
      <c r="AC109" s="14">
        <f t="shared" si="4"/>
        <v>2.9118586180348523E-3</v>
      </c>
      <c r="AD109" s="14">
        <f t="shared" si="3"/>
        <v>3.0977219340796304E-3</v>
      </c>
      <c r="AE109" s="14">
        <f t="shared" si="3"/>
        <v>6.1954438681592608E-3</v>
      </c>
      <c r="AF109" s="15">
        <f>AF108/$B$94</f>
        <v>1.2390887736318522E-2</v>
      </c>
      <c r="AG109" s="15">
        <f>AG108/$B$94</f>
        <v>2.4781775472637043E-2</v>
      </c>
      <c r="AH109" s="224">
        <f>AH108/$B$94</f>
        <v>4.9563550945274086E-2</v>
      </c>
      <c r="AI109" s="260">
        <f t="shared" ref="AI109:AM109" si="5">AI108/$B$94</f>
        <v>9.9127101890548172E-2</v>
      </c>
      <c r="AJ109" s="223">
        <f t="shared" si="5"/>
        <v>0.19825420378109634</v>
      </c>
      <c r="AK109" s="223">
        <f t="shared" si="5"/>
        <v>0.39650840756219269</v>
      </c>
      <c r="AL109" s="223">
        <f t="shared" si="5"/>
        <v>0.79301681512438538</v>
      </c>
      <c r="AM109" s="178">
        <f t="shared" si="5"/>
        <v>1</v>
      </c>
      <c r="AN109" s="177">
        <f>AN108/$B$94</f>
        <v>1</v>
      </c>
      <c r="AO109" s="243">
        <f>B97</f>
        <v>7.0000000000000007E-2</v>
      </c>
      <c r="AP109" s="25"/>
      <c r="AQ109" s="25"/>
      <c r="AR109" s="69"/>
    </row>
    <row r="110" spans="1:44" x14ac:dyDescent="0.25">
      <c r="A110" s="41" t="s">
        <v>159</v>
      </c>
      <c r="B110" s="16"/>
      <c r="C110" s="16"/>
      <c r="D110" s="16"/>
      <c r="E110" s="16"/>
      <c r="F110" s="16"/>
      <c r="G110" s="16"/>
      <c r="H110" s="16"/>
      <c r="I110" s="16"/>
      <c r="J110" s="16"/>
      <c r="K110" s="16"/>
      <c r="L110" s="264">
        <f t="shared" ref="L110:U110" si="6">MAX(L108-(L116-L117)-(L118-L119)-(L120-L121),0)</f>
        <v>25.558430925469978</v>
      </c>
      <c r="M110" s="265">
        <f t="shared" si="6"/>
        <v>48.253729583441825</v>
      </c>
      <c r="N110" s="265">
        <f t="shared" si="6"/>
        <v>104.90319014596037</v>
      </c>
      <c r="O110" s="265">
        <f t="shared" si="6"/>
        <v>224.72190063694103</v>
      </c>
      <c r="P110" s="265">
        <f>MAX(P108-(P116-P117)-(P118-P119)-(P120-P121),0)</f>
        <v>468.16151942648673</v>
      </c>
      <c r="Q110" s="265">
        <f t="shared" si="6"/>
        <v>955.08635794363818</v>
      </c>
      <c r="R110" s="265">
        <f>MAX(R108-(R116-R117)-(R118-R119)-(R120-R121),0)</f>
        <v>1950.8214285714287</v>
      </c>
      <c r="S110" s="265">
        <f t="shared" si="6"/>
        <v>3941.9387841598559</v>
      </c>
      <c r="T110" s="265">
        <f t="shared" si="6"/>
        <v>7899.3926009765419</v>
      </c>
      <c r="U110" s="265">
        <f t="shared" si="6"/>
        <v>15815.828395301851</v>
      </c>
      <c r="V110" s="265">
        <f>MAX(V108-(V116-V117)-(V118-V119)-(V120-V121),0)</f>
        <v>31608.741071428572</v>
      </c>
      <c r="W110" s="265">
        <f t="shared" ref="W110:AH110" si="7">MAX(W108-(W116-W117)-(W118-W119)-(W120-W121),0)</f>
        <v>63059.098214285717</v>
      </c>
      <c r="X110" s="265">
        <f t="shared" si="7"/>
        <v>125994.94404701918</v>
      </c>
      <c r="Y110" s="265">
        <f t="shared" si="7"/>
        <v>247663.86625378428</v>
      </c>
      <c r="Z110" s="265">
        <f t="shared" si="7"/>
        <v>416580.64285714296</v>
      </c>
      <c r="AA110" s="265">
        <f t="shared" ref="AA110:AC110" si="8">MAX(AA108-(AA116-AA117)-(AA118-AA119)-(AA120-AA121),0)</f>
        <v>364279.62045559677</v>
      </c>
      <c r="AB110" s="265">
        <f t="shared" si="8"/>
        <v>166069.15329810334</v>
      </c>
      <c r="AC110" s="265">
        <f t="shared" si="8"/>
        <v>116338.06538142232</v>
      </c>
      <c r="AD110" s="265">
        <f t="shared" si="7"/>
        <v>93263.630545841472</v>
      </c>
      <c r="AE110" s="265">
        <f t="shared" si="7"/>
        <v>0</v>
      </c>
      <c r="AF110" s="265">
        <f t="shared" si="7"/>
        <v>0</v>
      </c>
      <c r="AG110" s="265">
        <f t="shared" si="7"/>
        <v>0</v>
      </c>
      <c r="AH110" s="268">
        <f t="shared" si="7"/>
        <v>0</v>
      </c>
      <c r="AI110" s="240">
        <f t="shared" ref="AI110:AM110" si="9">MAX(AI108-(AI116-AI117)-(AI118-AI119)-(AI120-AI121),0)</f>
        <v>0</v>
      </c>
      <c r="AJ110" s="199">
        <f t="shared" si="9"/>
        <v>0</v>
      </c>
      <c r="AK110" s="199">
        <f t="shared" si="9"/>
        <v>0</v>
      </c>
      <c r="AL110" s="199">
        <f t="shared" si="9"/>
        <v>2657156.4879857004</v>
      </c>
      <c r="AM110" s="200">
        <f t="shared" si="9"/>
        <v>0</v>
      </c>
      <c r="AN110" s="199">
        <f>MAX(AN108-(AN116-AN117)-(AN118-AN119)-(AN120-AN121),0)</f>
        <v>0</v>
      </c>
      <c r="AO110" s="244"/>
      <c r="AP110" s="45"/>
      <c r="AQ110" s="45"/>
      <c r="AR110" s="69"/>
    </row>
    <row r="111" spans="1:44" x14ac:dyDescent="0.25">
      <c r="A111" s="41" t="s">
        <v>173</v>
      </c>
      <c r="B111" s="16"/>
      <c r="C111" s="16"/>
      <c r="D111" s="16"/>
      <c r="E111" s="16"/>
      <c r="F111" s="16"/>
      <c r="G111" s="16"/>
      <c r="H111" s="16"/>
      <c r="I111" s="16"/>
      <c r="J111" s="16"/>
      <c r="K111" s="16"/>
      <c r="L111" s="86">
        <f>MAX(L108-L110-L123,0)</f>
        <v>5.6915690745300225</v>
      </c>
      <c r="M111" s="87">
        <f>MAX(M108-M110-M123,0)</f>
        <v>14.246270416558175</v>
      </c>
      <c r="N111" s="87">
        <f t="shared" ref="N111:O111" si="10">MAX(N108-N110-N123,0)</f>
        <v>20.096809854039634</v>
      </c>
      <c r="O111" s="87">
        <f t="shared" si="10"/>
        <v>25.278099363058971</v>
      </c>
      <c r="P111" s="121">
        <f>MAX(P108-P110-P123,0)</f>
        <v>31.838480573513266</v>
      </c>
      <c r="Q111" s="121">
        <f t="shared" ref="Q111:AH111" si="11">MAX(Q108-Q110-Q123,0)</f>
        <v>44.913642056361823</v>
      </c>
      <c r="R111" s="121">
        <f t="shared" si="11"/>
        <v>49.178571428571331</v>
      </c>
      <c r="S111" s="121">
        <f t="shared" si="11"/>
        <v>58.061215840144087</v>
      </c>
      <c r="T111" s="121">
        <f t="shared" si="11"/>
        <v>100.60739902345813</v>
      </c>
      <c r="U111" s="121">
        <f t="shared" si="11"/>
        <v>184.17160469814917</v>
      </c>
      <c r="V111" s="121">
        <f t="shared" si="11"/>
        <v>391.25892857142753</v>
      </c>
      <c r="W111" s="121">
        <f t="shared" si="11"/>
        <v>940.9017857142826</v>
      </c>
      <c r="X111" s="121">
        <f t="shared" si="11"/>
        <v>2003.1984285354285</v>
      </c>
      <c r="Y111" s="121">
        <f t="shared" si="11"/>
        <v>8332.8378177988779</v>
      </c>
      <c r="Z111" s="121">
        <f t="shared" si="11"/>
        <v>95405.471150396173</v>
      </c>
      <c r="AA111" s="121">
        <f t="shared" ref="AA111:AC111" si="12">MAX(AA108-AA110-AA123,0)</f>
        <v>403543.78601801855</v>
      </c>
      <c r="AB111" s="121">
        <f t="shared" si="12"/>
        <v>727406.14519873157</v>
      </c>
      <c r="AC111" s="121">
        <f t="shared" si="12"/>
        <v>829885.53376464616</v>
      </c>
      <c r="AD111" s="121">
        <f t="shared" si="11"/>
        <v>864949.83599543211</v>
      </c>
      <c r="AE111" s="121">
        <f t="shared" si="11"/>
        <v>1922257.6245847384</v>
      </c>
      <c r="AF111" s="121">
        <f t="shared" si="11"/>
        <v>1184431.4191555721</v>
      </c>
      <c r="AG111" s="121">
        <f t="shared" si="11"/>
        <v>5995059.5083699636</v>
      </c>
      <c r="AH111" s="122">
        <f t="shared" si="11"/>
        <v>13820118.549992871</v>
      </c>
      <c r="AI111" s="261">
        <f>MAX(AI108-AI110-AI123,0)</f>
        <v>29124591.87853973</v>
      </c>
      <c r="AJ111" s="213">
        <f>MAX(AJ108-AJ110-AJ123,0)</f>
        <v>59781693.21886944</v>
      </c>
      <c r="AK111" s="213">
        <f t="shared" ref="AK111:AN111" si="13">MAX(AK108-AK110-AK123,0)</f>
        <v>121390756.53868587</v>
      </c>
      <c r="AL111" s="213">
        <f t="shared" si="13"/>
        <v>242520068.70886168</v>
      </c>
      <c r="AM111" s="214">
        <f t="shared" si="13"/>
        <v>299989467.57622707</v>
      </c>
      <c r="AN111" s="213">
        <f t="shared" si="13"/>
        <v>274356498.29853517</v>
      </c>
      <c r="AO111" s="245"/>
      <c r="AP111" s="25"/>
      <c r="AQ111" s="25"/>
      <c r="AR111" s="69"/>
    </row>
    <row r="112" spans="1:44" x14ac:dyDescent="0.25">
      <c r="A112" s="4" t="s">
        <v>166</v>
      </c>
      <c r="B112" s="9"/>
      <c r="C112" s="9"/>
      <c r="D112" s="9"/>
      <c r="E112" s="9"/>
      <c r="F112" s="9"/>
      <c r="G112" s="9"/>
      <c r="H112" s="9"/>
      <c r="I112" s="9"/>
      <c r="J112" s="9"/>
      <c r="K112" s="5"/>
      <c r="L112" s="197">
        <f t="shared" ref="L112:AJ112" si="14">L108/$B$96</f>
        <v>260.41666666666669</v>
      </c>
      <c r="M112" s="198">
        <f t="shared" si="14"/>
        <v>520.83333333333337</v>
      </c>
      <c r="N112" s="198">
        <f t="shared" si="14"/>
        <v>1041.6666666666667</v>
      </c>
      <c r="O112" s="198">
        <f t="shared" si="14"/>
        <v>2083.3333333333335</v>
      </c>
      <c r="P112" s="198">
        <f t="shared" si="14"/>
        <v>4166.666666666667</v>
      </c>
      <c r="Q112" s="198">
        <f t="shared" si="14"/>
        <v>8333.3333333333339</v>
      </c>
      <c r="R112" s="198">
        <f t="shared" si="14"/>
        <v>16666.666666666668</v>
      </c>
      <c r="S112" s="198">
        <f t="shared" si="14"/>
        <v>33333.333333333336</v>
      </c>
      <c r="T112" s="198">
        <f t="shared" si="14"/>
        <v>66666.666666666672</v>
      </c>
      <c r="U112" s="198">
        <f t="shared" si="14"/>
        <v>133333.33333333334</v>
      </c>
      <c r="V112" s="198">
        <f t="shared" si="14"/>
        <v>266666.66666666669</v>
      </c>
      <c r="W112" s="198">
        <f t="shared" si="14"/>
        <v>533333.33333333337</v>
      </c>
      <c r="X112" s="198">
        <f t="shared" si="14"/>
        <v>1066666.6666666667</v>
      </c>
      <c r="Y112" s="198">
        <f t="shared" si="14"/>
        <v>2133333.3333333335</v>
      </c>
      <c r="Z112" s="198">
        <f t="shared" si="14"/>
        <v>4266666.666666667</v>
      </c>
      <c r="AA112" s="198">
        <f t="shared" ref="AA112:AC112" si="15">AA108/$B$96</f>
        <v>6400000</v>
      </c>
      <c r="AB112" s="198">
        <f t="shared" si="15"/>
        <v>7466666.666666667</v>
      </c>
      <c r="AC112" s="198">
        <f t="shared" si="15"/>
        <v>8021333.333333334</v>
      </c>
      <c r="AD112" s="198">
        <f t="shared" si="14"/>
        <v>8533333.333333334</v>
      </c>
      <c r="AE112" s="198">
        <f t="shared" si="14"/>
        <v>17066666.666666668</v>
      </c>
      <c r="AF112" s="198">
        <f t="shared" si="14"/>
        <v>34133333.333333336</v>
      </c>
      <c r="AG112" s="198">
        <f t="shared" si="14"/>
        <v>68266666.666666672</v>
      </c>
      <c r="AH112" s="198">
        <f t="shared" si="14"/>
        <v>136533333.33333334</v>
      </c>
      <c r="AI112" s="238">
        <f t="shared" si="14"/>
        <v>273066666.66666669</v>
      </c>
      <c r="AJ112" s="208">
        <f t="shared" si="14"/>
        <v>546133333.33333337</v>
      </c>
      <c r="AK112" s="208">
        <f>$B$94</f>
        <v>330565500</v>
      </c>
      <c r="AL112" s="208">
        <f t="shared" ref="AL112:AM112" si="16">$B$94</f>
        <v>330565500</v>
      </c>
      <c r="AM112" s="209">
        <f t="shared" si="16"/>
        <v>330565500</v>
      </c>
      <c r="AN112" s="199">
        <f>AN108</f>
        <v>330565500</v>
      </c>
      <c r="AO112" s="244">
        <f>($B$94*$B$97)/$B$96</f>
        <v>192829875.00000003</v>
      </c>
      <c r="AP112" s="25"/>
      <c r="AQ112" s="25"/>
      <c r="AR112" s="69"/>
    </row>
    <row r="113" spans="1:44" x14ac:dyDescent="0.25">
      <c r="A113" s="41" t="s">
        <v>113</v>
      </c>
      <c r="B113" s="16"/>
      <c r="C113" s="16"/>
      <c r="D113" s="16"/>
      <c r="E113" s="16"/>
      <c r="F113" s="16"/>
      <c r="G113" s="16"/>
      <c r="H113" s="16"/>
      <c r="I113" s="16"/>
      <c r="J113" s="16"/>
      <c r="K113" s="17"/>
      <c r="L113" s="195">
        <f>L112/$B$94</f>
        <v>7.8779142610667684E-7</v>
      </c>
      <c r="M113" s="196">
        <f t="shared" ref="M113:AG113" si="17">M112/$B$94</f>
        <v>1.5755828522133537E-6</v>
      </c>
      <c r="N113" s="196">
        <f t="shared" si="17"/>
        <v>3.1511657044267074E-6</v>
      </c>
      <c r="O113" s="66">
        <f t="shared" si="17"/>
        <v>6.3023314088534147E-6</v>
      </c>
      <c r="P113" s="66">
        <f t="shared" si="17"/>
        <v>1.2604662817706829E-5</v>
      </c>
      <c r="Q113" s="66">
        <f t="shared" si="17"/>
        <v>2.5209325635413659E-5</v>
      </c>
      <c r="R113" s="66">
        <f t="shared" si="17"/>
        <v>5.0418651270827318E-5</v>
      </c>
      <c r="S113" s="66">
        <f t="shared" si="17"/>
        <v>1.0083730254165464E-4</v>
      </c>
      <c r="T113" s="36">
        <f t="shared" si="17"/>
        <v>2.0167460508330927E-4</v>
      </c>
      <c r="U113" s="36">
        <f t="shared" si="17"/>
        <v>4.0334921016661854E-4</v>
      </c>
      <c r="V113" s="36">
        <f t="shared" si="17"/>
        <v>8.0669842033323708E-4</v>
      </c>
      <c r="W113" s="36">
        <f t="shared" si="17"/>
        <v>1.6133968406664742E-3</v>
      </c>
      <c r="X113" s="14">
        <f t="shared" si="17"/>
        <v>3.2267936813329483E-3</v>
      </c>
      <c r="Y113" s="15">
        <f t="shared" si="17"/>
        <v>6.4535873626658967E-3</v>
      </c>
      <c r="Z113" s="15">
        <f t="shared" si="17"/>
        <v>1.2907174725331793E-2</v>
      </c>
      <c r="AA113" s="15">
        <f t="shared" ref="AA113:AC113" si="18">AA112/$B$94</f>
        <v>1.9360762087997689E-2</v>
      </c>
      <c r="AB113" s="15">
        <f t="shared" si="18"/>
        <v>2.258755576933064E-2</v>
      </c>
      <c r="AC113" s="15">
        <f t="shared" si="18"/>
        <v>2.4265488483623771E-2</v>
      </c>
      <c r="AD113" s="15">
        <f t="shared" si="17"/>
        <v>2.5814349450663587E-2</v>
      </c>
      <c r="AE113" s="15">
        <f t="shared" si="17"/>
        <v>5.1628698901327173E-2</v>
      </c>
      <c r="AF113" s="15">
        <f t="shared" si="17"/>
        <v>0.10325739780265435</v>
      </c>
      <c r="AG113" s="75">
        <f t="shared" si="17"/>
        <v>0.20651479560530869</v>
      </c>
      <c r="AH113" s="75">
        <f>AH112/$B$94</f>
        <v>0.41302959121061739</v>
      </c>
      <c r="AI113" s="239">
        <f t="shared" ref="AI113:AM113" si="19">AI112/$B$94</f>
        <v>0.82605918242123477</v>
      </c>
      <c r="AJ113" s="177">
        <f t="shared" si="19"/>
        <v>1.6521183648424695</v>
      </c>
      <c r="AK113" s="177">
        <f t="shared" si="19"/>
        <v>1</v>
      </c>
      <c r="AL113" s="177">
        <f t="shared" si="19"/>
        <v>1</v>
      </c>
      <c r="AM113" s="178">
        <f t="shared" si="19"/>
        <v>1</v>
      </c>
      <c r="AN113" s="177">
        <v>1</v>
      </c>
      <c r="AO113" s="243">
        <f>AO112/B94</f>
        <v>0.58333333333333337</v>
      </c>
      <c r="AP113" s="25"/>
      <c r="AQ113" s="25"/>
      <c r="AR113" s="69"/>
    </row>
    <row r="114" spans="1:44" x14ac:dyDescent="0.25">
      <c r="A114" s="41" t="s">
        <v>164</v>
      </c>
      <c r="B114" s="16"/>
      <c r="C114" s="16"/>
      <c r="D114" s="16"/>
      <c r="E114" s="16"/>
      <c r="F114" s="16"/>
      <c r="G114" s="16"/>
      <c r="H114" s="16"/>
      <c r="I114" s="16"/>
      <c r="J114" s="16"/>
      <c r="K114" s="17"/>
      <c r="L114" s="197">
        <f>L112-L108</f>
        <v>229.16666666666669</v>
      </c>
      <c r="M114" s="198">
        <f t="shared" ref="M114:AF114" si="20">M112-M108</f>
        <v>458.33333333333337</v>
      </c>
      <c r="N114" s="198">
        <f t="shared" si="20"/>
        <v>916.66666666666674</v>
      </c>
      <c r="O114" s="198">
        <f t="shared" si="20"/>
        <v>1833.3333333333335</v>
      </c>
      <c r="P114" s="198">
        <f>P112-P108</f>
        <v>3666.666666666667</v>
      </c>
      <c r="Q114" s="198">
        <f t="shared" si="20"/>
        <v>7333.3333333333339</v>
      </c>
      <c r="R114" s="198">
        <f t="shared" si="20"/>
        <v>14666.666666666668</v>
      </c>
      <c r="S114" s="198">
        <f t="shared" si="20"/>
        <v>29333.333333333336</v>
      </c>
      <c r="T114" s="198">
        <f t="shared" si="20"/>
        <v>58666.666666666672</v>
      </c>
      <c r="U114" s="198">
        <f t="shared" si="20"/>
        <v>117333.33333333334</v>
      </c>
      <c r="V114" s="198">
        <f t="shared" si="20"/>
        <v>234666.66666666669</v>
      </c>
      <c r="W114" s="198">
        <f t="shared" si="20"/>
        <v>469333.33333333337</v>
      </c>
      <c r="X114" s="198">
        <f t="shared" si="20"/>
        <v>938666.66666666674</v>
      </c>
      <c r="Y114" s="198">
        <f t="shared" si="20"/>
        <v>1877333.3333333335</v>
      </c>
      <c r="Z114" s="198">
        <f t="shared" si="20"/>
        <v>3754666.666666667</v>
      </c>
      <c r="AA114" s="198">
        <f t="shared" ref="AA114:AC114" si="21">AA112-AA108</f>
        <v>5632000</v>
      </c>
      <c r="AB114" s="198">
        <f t="shared" si="21"/>
        <v>6570666.666666667</v>
      </c>
      <c r="AC114" s="198">
        <f t="shared" si="21"/>
        <v>7058773.333333334</v>
      </c>
      <c r="AD114" s="198">
        <f t="shared" si="20"/>
        <v>7509333.333333334</v>
      </c>
      <c r="AE114" s="198">
        <f t="shared" si="20"/>
        <v>15018666.666666668</v>
      </c>
      <c r="AF114" s="198">
        <f t="shared" si="20"/>
        <v>30037333.333333336</v>
      </c>
      <c r="AG114" s="198">
        <f>AG112-AG108</f>
        <v>60074666.666666672</v>
      </c>
      <c r="AH114" s="198">
        <f>AH112-AH108</f>
        <v>120149333.33333334</v>
      </c>
      <c r="AI114" s="240">
        <f>AI112-AI108</f>
        <v>240298666.66666669</v>
      </c>
      <c r="AJ114" s="199">
        <f t="shared" ref="AJ114:AM114" si="22">AJ112</f>
        <v>546133333.33333337</v>
      </c>
      <c r="AK114" s="199">
        <f t="shared" si="22"/>
        <v>330565500</v>
      </c>
      <c r="AL114" s="199">
        <f t="shared" si="22"/>
        <v>330565500</v>
      </c>
      <c r="AM114" s="200">
        <f t="shared" si="22"/>
        <v>330565500</v>
      </c>
      <c r="AN114" s="199">
        <f>AN112</f>
        <v>330565500</v>
      </c>
      <c r="AO114" s="246">
        <f>AO112-AO108</f>
        <v>169690290.00000003</v>
      </c>
      <c r="AP114" s="25"/>
      <c r="AQ114" s="25"/>
      <c r="AR114" s="69"/>
    </row>
    <row r="115" spans="1:44" x14ac:dyDescent="0.25">
      <c r="A115" s="37" t="s">
        <v>165</v>
      </c>
      <c r="B115" s="39"/>
      <c r="C115" s="39"/>
      <c r="D115" s="39"/>
      <c r="E115" s="39"/>
      <c r="F115" s="39"/>
      <c r="G115" s="39"/>
      <c r="H115" s="39"/>
      <c r="I115" s="39"/>
      <c r="J115" s="39"/>
      <c r="K115" s="63"/>
      <c r="L115" s="206">
        <f>MIN((1/$B$96)*(2^(((L107 - 14) - $B$104)/$L$133)),L114)</f>
        <v>58.555237392284177</v>
      </c>
      <c r="M115" s="207">
        <f>MIN((1/$B$96)*(2^(((M107 - 14) - $B$104)/$L$133)),M114)</f>
        <v>146.56656807158615</v>
      </c>
      <c r="N115" s="207">
        <f>MIN((1/$B$96)*(2^(((N107 - 14) - $B$104)/$L$133)),N114)</f>
        <v>206.75730302509908</v>
      </c>
      <c r="O115" s="207">
        <f>MIN((1/$B$96)*(2^(((O107 - 14) - $B$104)/$L$133)),O114)</f>
        <v>260.06275064875484</v>
      </c>
      <c r="P115" s="198">
        <f t="shared" ref="P115:Z115" si="23">MIN(($L$108/$B$96)*(2^(((P107 - 14) - $L$107)/HLOOKUP((P107-14)-$B$104,$L$131:$AO$133,3,TRUE))),P114)</f>
        <v>327.55638450116504</v>
      </c>
      <c r="Q115" s="198">
        <f t="shared" si="23"/>
        <v>462.07450675269331</v>
      </c>
      <c r="R115" s="198">
        <f t="shared" si="23"/>
        <v>505.95238095238091</v>
      </c>
      <c r="S115" s="198">
        <f t="shared" si="23"/>
        <v>597.33761152411716</v>
      </c>
      <c r="T115" s="198">
        <f t="shared" si="23"/>
        <v>1035.0555455088277</v>
      </c>
      <c r="U115" s="198">
        <f t="shared" si="23"/>
        <v>1894.7695956599703</v>
      </c>
      <c r="V115" s="198">
        <f t="shared" si="23"/>
        <v>4025.2976190476184</v>
      </c>
      <c r="W115" s="198">
        <f t="shared" si="23"/>
        <v>9680.0595238095229</v>
      </c>
      <c r="X115" s="198">
        <f t="shared" si="23"/>
        <v>20610.11904761905</v>
      </c>
      <c r="Y115" s="198">
        <f t="shared" si="23"/>
        <v>85730.703495727808</v>
      </c>
      <c r="Z115" s="198">
        <f t="shared" si="23"/>
        <v>924523.80952380877</v>
      </c>
      <c r="AA115" s="198">
        <f t="shared" ref="AA115:AC115" si="24">MIN(($L$108/$B$96)*(2^(((AA107 - 14) - $L$107)/HLOOKUP((AA107-14)-$B$104,$L$131:$AO$133,3,TRUE))),AA114)</f>
        <v>3911305.36301739</v>
      </c>
      <c r="AB115" s="198">
        <f t="shared" si="24"/>
        <v>6570666.666666667</v>
      </c>
      <c r="AC115" s="198">
        <f t="shared" si="24"/>
        <v>7058773.333333334</v>
      </c>
      <c r="AD115" s="198">
        <f t="shared" ref="AD115:AN115" si="25">MIN(($L$108/$B$96)*(2^(((AD107 - 14) - $L$107)/HLOOKUP((AD107-14)-$B$104,$L$131:$AO$133,3,TRUE))),AD114)</f>
        <v>7509333.333333334</v>
      </c>
      <c r="AE115" s="198">
        <f t="shared" si="25"/>
        <v>15018666.666666668</v>
      </c>
      <c r="AF115" s="198">
        <f t="shared" si="25"/>
        <v>30037333.333333336</v>
      </c>
      <c r="AG115" s="198">
        <f t="shared" si="25"/>
        <v>60074666.666666672</v>
      </c>
      <c r="AH115" s="198">
        <f t="shared" si="25"/>
        <v>120149333.33333334</v>
      </c>
      <c r="AI115" s="241">
        <f t="shared" si="25"/>
        <v>240298666.66666669</v>
      </c>
      <c r="AJ115" s="203">
        <f t="shared" si="25"/>
        <v>546133333.33333337</v>
      </c>
      <c r="AK115" s="203">
        <f t="shared" si="25"/>
        <v>330565500</v>
      </c>
      <c r="AL115" s="203">
        <f t="shared" si="25"/>
        <v>330565500</v>
      </c>
      <c r="AM115" s="204">
        <f t="shared" si="25"/>
        <v>330565500</v>
      </c>
      <c r="AN115" s="203">
        <f t="shared" si="25"/>
        <v>330565500</v>
      </c>
      <c r="AO115" s="246"/>
      <c r="AP115" s="25"/>
      <c r="AQ115" s="25"/>
      <c r="AR115" s="69"/>
    </row>
    <row r="116" spans="1:44" x14ac:dyDescent="0.25">
      <c r="A116" s="41" t="s">
        <v>162</v>
      </c>
      <c r="B116" s="16"/>
      <c r="C116" s="16"/>
      <c r="D116" s="16"/>
      <c r="E116" s="16"/>
      <c r="F116" s="16"/>
      <c r="G116" s="16"/>
      <c r="H116" s="16"/>
      <c r="I116" s="16"/>
      <c r="J116" s="16"/>
      <c r="K116" s="16"/>
      <c r="L116" s="215">
        <f t="shared" ref="L116:AN116" si="26">L108*$B$100</f>
        <v>25.3125</v>
      </c>
      <c r="M116" s="216">
        <f t="shared" si="26"/>
        <v>50.625</v>
      </c>
      <c r="N116" s="216">
        <f t="shared" si="26"/>
        <v>101.25</v>
      </c>
      <c r="O116" s="216">
        <f t="shared" si="26"/>
        <v>202.5</v>
      </c>
      <c r="P116" s="216">
        <f t="shared" si="26"/>
        <v>405</v>
      </c>
      <c r="Q116" s="216">
        <f t="shared" si="26"/>
        <v>810</v>
      </c>
      <c r="R116" s="216">
        <f t="shared" si="26"/>
        <v>1620</v>
      </c>
      <c r="S116" s="216">
        <f t="shared" si="26"/>
        <v>3240</v>
      </c>
      <c r="T116" s="216">
        <f t="shared" si="26"/>
        <v>6480</v>
      </c>
      <c r="U116" s="216">
        <f t="shared" si="26"/>
        <v>12960</v>
      </c>
      <c r="V116" s="216">
        <f t="shared" si="26"/>
        <v>25920</v>
      </c>
      <c r="W116" s="216">
        <f t="shared" si="26"/>
        <v>51840</v>
      </c>
      <c r="X116" s="216">
        <f t="shared" si="26"/>
        <v>103680</v>
      </c>
      <c r="Y116" s="216">
        <f t="shared" si="26"/>
        <v>207360</v>
      </c>
      <c r="Z116" s="216">
        <f t="shared" si="26"/>
        <v>414720</v>
      </c>
      <c r="AA116" s="216">
        <f t="shared" ref="AA116:AC116" si="27">AA108*$B$100</f>
        <v>622080</v>
      </c>
      <c r="AB116" s="216">
        <f t="shared" si="27"/>
        <v>725760</v>
      </c>
      <c r="AC116" s="216">
        <f t="shared" si="27"/>
        <v>779673.60000000009</v>
      </c>
      <c r="AD116" s="216">
        <f t="shared" si="26"/>
        <v>829440</v>
      </c>
      <c r="AE116" s="216">
        <f t="shared" si="26"/>
        <v>1658880</v>
      </c>
      <c r="AF116" s="216">
        <f t="shared" si="26"/>
        <v>3317760</v>
      </c>
      <c r="AG116" s="216">
        <f t="shared" si="26"/>
        <v>6635520</v>
      </c>
      <c r="AH116" s="216">
        <f t="shared" si="26"/>
        <v>13271040</v>
      </c>
      <c r="AI116" s="238">
        <f t="shared" ref="AI116:AM116" si="28">AI108*$B$100</f>
        <v>26542080</v>
      </c>
      <c r="AJ116" s="208">
        <f t="shared" si="28"/>
        <v>53084160</v>
      </c>
      <c r="AK116" s="208">
        <f t="shared" si="28"/>
        <v>106168320</v>
      </c>
      <c r="AL116" s="208">
        <f t="shared" si="28"/>
        <v>212336640</v>
      </c>
      <c r="AM116" s="209">
        <f t="shared" si="28"/>
        <v>267758055.00000003</v>
      </c>
      <c r="AN116" s="199">
        <f t="shared" si="26"/>
        <v>267758055.00000003</v>
      </c>
      <c r="AO116" s="246">
        <f>AO108*B100</f>
        <v>18743063.850000005</v>
      </c>
      <c r="AP116" s="25"/>
      <c r="AQ116" s="25"/>
      <c r="AR116" s="69"/>
    </row>
    <row r="117" spans="1:44" x14ac:dyDescent="0.25">
      <c r="A117" s="41" t="s">
        <v>174</v>
      </c>
      <c r="B117" s="16"/>
      <c r="C117" s="16"/>
      <c r="D117" s="16"/>
      <c r="E117" s="16"/>
      <c r="F117" s="16"/>
      <c r="G117" s="16"/>
      <c r="H117" s="16"/>
      <c r="I117" s="16"/>
      <c r="J117" s="16"/>
      <c r="K117" s="16"/>
      <c r="L117" s="206">
        <f>L116-(1*$B$100)*(2^(((L107 - 14) - $B$104)/$L$133))</f>
        <v>19.620930925469978</v>
      </c>
      <c r="M117" s="207">
        <f>M116-(1*$B$100)*(2^(((M107 - 14) - $B$104)/$L$133))</f>
        <v>36.378729583441825</v>
      </c>
      <c r="N117" s="207">
        <f>N116-(1*$B$100)*(2^(((N107 - 14) - $B$104)/$L$133))</f>
        <v>81.153190145960366</v>
      </c>
      <c r="O117" s="207">
        <f>O116-(1*$B$100)*(2^(((O107 - 14) - $B$104)/$L$133))</f>
        <v>177.22190063694103</v>
      </c>
      <c r="P117" s="205">
        <f t="shared" ref="P117:Z117" si="29">MAX(P116-(($L$108*$B$100)*(2^(((P107 -14) - $L$107)/HLOOKUP((P107-14)-$B$104,$L$131:$AO$133,3,TRUE)))),0)</f>
        <v>373.16151942648673</v>
      </c>
      <c r="Q117" s="205">
        <f t="shared" si="29"/>
        <v>765.08635794363818</v>
      </c>
      <c r="R117" s="205">
        <f t="shared" si="29"/>
        <v>1570.8214285714287</v>
      </c>
      <c r="S117" s="205">
        <f t="shared" si="29"/>
        <v>3181.9387841598559</v>
      </c>
      <c r="T117" s="205">
        <f t="shared" si="29"/>
        <v>6379.3926009765419</v>
      </c>
      <c r="U117" s="205">
        <f t="shared" si="29"/>
        <v>12775.828395301851</v>
      </c>
      <c r="V117" s="205">
        <f t="shared" si="29"/>
        <v>25528.741071428572</v>
      </c>
      <c r="W117" s="205">
        <f t="shared" si="29"/>
        <v>50899.098214285717</v>
      </c>
      <c r="X117" s="205">
        <f t="shared" si="29"/>
        <v>101676.69642857143</v>
      </c>
      <c r="Y117" s="205">
        <f t="shared" si="29"/>
        <v>199026.97562021526</v>
      </c>
      <c r="Z117" s="205">
        <f t="shared" si="29"/>
        <v>324856.2857142858</v>
      </c>
      <c r="AA117" s="205">
        <f t="shared" ref="AA117:AC117" si="30">MAX(AA116-(($L$108*$B$100)*(2^(((AA107 -14) - $L$107)/HLOOKUP((AA107-14)-$B$104,$L$131:$AO$133,3,TRUE)))),0)</f>
        <v>241901.11871470971</v>
      </c>
      <c r="AB117" s="205">
        <f t="shared" si="30"/>
        <v>38930.033024545759</v>
      </c>
      <c r="AC117" s="205">
        <f t="shared" si="30"/>
        <v>0</v>
      </c>
      <c r="AD117" s="205">
        <f t="shared" ref="AD117:AN117" si="31">MAX(AD116-(($L$108*$B$100)*(2^(((AD107 -14) - $L$107)/HLOOKUP((AD107-14)-$B$104,$L$131:$AO$133,3,TRUE)))),0)</f>
        <v>0</v>
      </c>
      <c r="AE117" s="205">
        <f t="shared" si="31"/>
        <v>0</v>
      </c>
      <c r="AF117" s="205">
        <f t="shared" si="31"/>
        <v>0</v>
      </c>
      <c r="AG117" s="205">
        <f t="shared" si="31"/>
        <v>0</v>
      </c>
      <c r="AH117" s="205">
        <f t="shared" si="31"/>
        <v>0</v>
      </c>
      <c r="AI117" s="241">
        <f t="shared" si="31"/>
        <v>0</v>
      </c>
      <c r="AJ117" s="203">
        <f t="shared" si="31"/>
        <v>0</v>
      </c>
      <c r="AK117" s="203">
        <f t="shared" si="31"/>
        <v>0</v>
      </c>
      <c r="AL117" s="203">
        <f t="shared" si="31"/>
        <v>0</v>
      </c>
      <c r="AM117" s="204">
        <f t="shared" si="31"/>
        <v>0</v>
      </c>
      <c r="AN117" s="199">
        <f t="shared" si="31"/>
        <v>0</v>
      </c>
      <c r="AO117" s="244"/>
      <c r="AP117" s="25"/>
      <c r="AQ117" s="25"/>
      <c r="AR117" s="69"/>
    </row>
    <row r="118" spans="1:44" x14ac:dyDescent="0.25">
      <c r="A118" s="62" t="s">
        <v>111</v>
      </c>
      <c r="B118" s="9"/>
      <c r="C118" s="9"/>
      <c r="D118" s="9"/>
      <c r="E118" s="9"/>
      <c r="F118" s="9"/>
      <c r="G118" s="9"/>
      <c r="H118" s="9"/>
      <c r="I118" s="9"/>
      <c r="J118" s="9"/>
      <c r="K118" s="5"/>
      <c r="L118" s="225">
        <f>(1*($B$101+$B$102))*(2^(((L107 - 7) - $B$104)/$L$133))</f>
        <v>2.9796216359494587</v>
      </c>
      <c r="M118" s="211">
        <f t="shared" ref="M118:Z118" si="32">($L$108*($B$101+$B$102))*(2^(((M107-7)-$L$107)/HLOOKUP((M107-7)-$B$104,$L$131:$AO$133,3,TRUE)))</f>
        <v>6.6590498985850246</v>
      </c>
      <c r="N118" s="211">
        <f t="shared" si="32"/>
        <v>9.3937329355254953</v>
      </c>
      <c r="O118" s="211">
        <f t="shared" si="32"/>
        <v>11.815592437748149</v>
      </c>
      <c r="P118" s="211">
        <f t="shared" si="32"/>
        <v>12.534285987853202</v>
      </c>
      <c r="Q118" s="211">
        <f t="shared" si="32"/>
        <v>23.599266437601273</v>
      </c>
      <c r="R118" s="211">
        <f t="shared" si="32"/>
        <v>49.779972972921911</v>
      </c>
      <c r="S118" s="211">
        <f t="shared" si="32"/>
        <v>108.90640436467176</v>
      </c>
      <c r="T118" s="211">
        <f t="shared" si="32"/>
        <v>220.70535714285711</v>
      </c>
      <c r="U118" s="211">
        <f t="shared" si="32"/>
        <v>322.92231652302479</v>
      </c>
      <c r="V118" s="211">
        <f t="shared" si="32"/>
        <v>573.20080200802715</v>
      </c>
      <c r="W118" s="211">
        <f t="shared" si="32"/>
        <v>1576.9999999999995</v>
      </c>
      <c r="X118" s="211">
        <f t="shared" si="32"/>
        <v>4145.4455784766114</v>
      </c>
      <c r="Y118" s="211">
        <f t="shared" si="32"/>
        <v>14658.884770024193</v>
      </c>
      <c r="Z118" s="211">
        <f t="shared" si="32"/>
        <v>64486.753877005009</v>
      </c>
      <c r="AA118" s="211">
        <f t="shared" ref="AA118:AC118" si="33">($L$108*($B$101+$B$102))*(2^(((AA107-7)-$L$107)/HLOOKUP((AA107-7)-$B$104,$L$131:$AO$133,3,TRUE)))</f>
        <v>120681.5837010993</v>
      </c>
      <c r="AB118" s="211">
        <f t="shared" si="33"/>
        <v>167412.55997051939</v>
      </c>
      <c r="AC118" s="211">
        <f t="shared" si="33"/>
        <v>190781.17861787492</v>
      </c>
      <c r="AD118" s="211">
        <f t="shared" ref="AD118:AM118" si="34">($L$108*($B$101+$B$102))*(2^(((AD107-7)-$L$107)/HLOOKUP((AD107-7)-$B$104,$L$131:$AO$133,3,TRUE)))</f>
        <v>200061.07088783607</v>
      </c>
      <c r="AE118" s="211">
        <f t="shared" si="34"/>
        <v>4992847.3378515299</v>
      </c>
      <c r="AF118" s="211">
        <f t="shared" si="34"/>
        <v>4497904.538392406</v>
      </c>
      <c r="AG118" s="211">
        <f t="shared" si="34"/>
        <v>5789303.3675205773</v>
      </c>
      <c r="AH118" s="211">
        <f t="shared" si="34"/>
        <v>8754304.8296122942</v>
      </c>
      <c r="AI118" s="238">
        <f t="shared" si="34"/>
        <v>14432825.633825699</v>
      </c>
      <c r="AJ118" s="208">
        <f t="shared" si="34"/>
        <v>25057778.230860412</v>
      </c>
      <c r="AK118" s="208">
        <f t="shared" si="34"/>
        <v>44982142.895297103</v>
      </c>
      <c r="AL118" s="208">
        <f t="shared" si="34"/>
        <v>82613099.016637921</v>
      </c>
      <c r="AM118" s="209">
        <f t="shared" si="34"/>
        <v>154215901.30987263</v>
      </c>
      <c r="AN118" s="208">
        <f>($L$108*($B$101+$B$102))*(2^(((AN107 - 7) - $L$107)/AN133))</f>
        <v>43016658.719263822</v>
      </c>
      <c r="AO118" s="244">
        <f>AO108*(B101+B102)</f>
        <v>4396521.1500000004</v>
      </c>
      <c r="AP118" s="45"/>
      <c r="AQ118" s="45"/>
      <c r="AR118" s="69"/>
    </row>
    <row r="119" spans="1:44" x14ac:dyDescent="0.25">
      <c r="A119" s="37" t="s">
        <v>160</v>
      </c>
      <c r="B119" s="38"/>
      <c r="C119" s="39"/>
      <c r="D119" s="39"/>
      <c r="E119" s="39"/>
      <c r="F119" s="39"/>
      <c r="G119" s="39"/>
      <c r="H119" s="39"/>
      <c r="I119" s="39"/>
      <c r="J119" s="39"/>
      <c r="K119" s="63"/>
      <c r="L119" s="206">
        <f t="shared" ref="L119:Y119" si="35">L118</f>
        <v>2.9796216359494587</v>
      </c>
      <c r="M119" s="207">
        <f t="shared" si="35"/>
        <v>6.6590498985850246</v>
      </c>
      <c r="N119" s="207">
        <f t="shared" si="35"/>
        <v>9.3937329355254953</v>
      </c>
      <c r="O119" s="207">
        <f t="shared" si="35"/>
        <v>11.815592437748149</v>
      </c>
      <c r="P119" s="207">
        <f t="shared" si="35"/>
        <v>12.534285987853202</v>
      </c>
      <c r="Q119" s="207">
        <f t="shared" si="35"/>
        <v>23.599266437601273</v>
      </c>
      <c r="R119" s="207">
        <f t="shared" si="35"/>
        <v>49.779972972921911</v>
      </c>
      <c r="S119" s="207">
        <f t="shared" si="35"/>
        <v>108.90640436467176</v>
      </c>
      <c r="T119" s="207">
        <f t="shared" si="35"/>
        <v>220.70535714285711</v>
      </c>
      <c r="U119" s="207">
        <f t="shared" si="35"/>
        <v>322.92231652302479</v>
      </c>
      <c r="V119" s="207">
        <f t="shared" si="35"/>
        <v>573.20080200802715</v>
      </c>
      <c r="W119" s="207">
        <f t="shared" si="35"/>
        <v>1576.9999999999995</v>
      </c>
      <c r="X119" s="207">
        <f t="shared" si="35"/>
        <v>4145.4455784766114</v>
      </c>
      <c r="Y119" s="207">
        <f t="shared" si="35"/>
        <v>14658.884770024193</v>
      </c>
      <c r="Z119" s="198">
        <f>MAX(Z118-($L$108*$B$101)*(2^(((Z107 - 42) - $L$107)/HLOOKUP((Z107-42)-$B$104,$L$131:$AO$133,3,TRUE)))-Z121,0)</f>
        <v>58944.211012749765</v>
      </c>
      <c r="AA119" s="198">
        <f t="shared" ref="AA119:AC119" si="36">MAX(AA118-($L$108*$B$101)*(2^(((AA107 - 42) - $L$107)/HLOOKUP((AA107-42)-$B$104,$L$131:$AO$133,3,TRUE)))-AA121,0)</f>
        <v>97306.683108386991</v>
      </c>
      <c r="AB119" s="198">
        <f t="shared" si="36"/>
        <v>126693.47411498739</v>
      </c>
      <c r="AC119" s="198">
        <f t="shared" si="36"/>
        <v>139644.54291810072</v>
      </c>
      <c r="AD119" s="198">
        <f t="shared" ref="AD119:AN119" si="37">MAX(AD118-($L$108*$B$101)*(2^(((AD107 - 42) - $L$107)/HLOOKUP((AD107-42)-$B$104,$L$131:$AO$133,3,TRUE)))-AD121,0)</f>
        <v>160827.46884757033</v>
      </c>
      <c r="AE119" s="198">
        <f t="shared" si="37"/>
        <v>4426907.6828267695</v>
      </c>
      <c r="AF119" s="198">
        <f t="shared" si="37"/>
        <v>1244435.7567122444</v>
      </c>
      <c r="AG119" s="198">
        <f t="shared" si="37"/>
        <v>2770484.6307800757</v>
      </c>
      <c r="AH119" s="198">
        <f t="shared" si="37"/>
        <v>4804801.2186492998</v>
      </c>
      <c r="AI119" s="241">
        <f t="shared" si="37"/>
        <v>8398406.7808846384</v>
      </c>
      <c r="AJ119" s="203">
        <f t="shared" si="37"/>
        <v>15037666.370398669</v>
      </c>
      <c r="AK119" s="203">
        <f t="shared" si="37"/>
        <v>27494177.817190554</v>
      </c>
      <c r="AL119" s="203">
        <f t="shared" si="37"/>
        <v>51093905.650021568</v>
      </c>
      <c r="AM119" s="204">
        <f t="shared" si="37"/>
        <v>95285617.573037148</v>
      </c>
      <c r="AN119" s="199">
        <f t="shared" si="37"/>
        <v>0</v>
      </c>
      <c r="AO119" s="246"/>
      <c r="AP119" s="45"/>
      <c r="AQ119" s="45"/>
      <c r="AR119" s="69"/>
    </row>
    <row r="120" spans="1:44" x14ac:dyDescent="0.25">
      <c r="A120" s="62" t="s">
        <v>112</v>
      </c>
      <c r="B120" s="9"/>
      <c r="C120" s="9"/>
      <c r="D120" s="9"/>
      <c r="E120" s="9"/>
      <c r="F120" s="9"/>
      <c r="G120" s="9"/>
      <c r="H120" s="9"/>
      <c r="I120" s="9"/>
      <c r="J120" s="9"/>
      <c r="K120" s="5"/>
      <c r="L120" s="225">
        <f>(1*$B$102)*(2^(((L107 - 14) -$B$104)/$L$133))</f>
        <v>0.35133142435370507</v>
      </c>
      <c r="M120" s="222">
        <f>(1*$B$102)*(2^(((M107 - 14) -$B$104)/$L$133))</f>
        <v>0.8793994084295168</v>
      </c>
      <c r="N120" s="222">
        <f>(1*$B$102)*(2^(((N107 - 14) -$B$104)/$L$133))</f>
        <v>1.2405438181505943</v>
      </c>
      <c r="O120" s="222">
        <f>(1*$B$102)*(2^(((O107 - 14) -$B$104)/$L$133))</f>
        <v>1.5603765038925292</v>
      </c>
      <c r="P120" s="211">
        <f t="shared" ref="P120:Z120" si="38">($L$108*$B$102)*(2^(((P107 - 14) - $L$107)/HLOOKUP((P107-14)-$B$104,$L$131:$AO$133,3,TRUE)))</f>
        <v>1.9653383070069901</v>
      </c>
      <c r="Q120" s="211">
        <f t="shared" si="38"/>
        <v>2.7724470405161594</v>
      </c>
      <c r="R120" s="211">
        <f t="shared" si="38"/>
        <v>3.0357142857142851</v>
      </c>
      <c r="S120" s="211">
        <f t="shared" si="38"/>
        <v>3.5840256691447028</v>
      </c>
      <c r="T120" s="211">
        <f t="shared" si="38"/>
        <v>6.2103332730529663</v>
      </c>
      <c r="U120" s="211">
        <f t="shared" si="38"/>
        <v>11.368617573959821</v>
      </c>
      <c r="V120" s="211">
        <f t="shared" si="38"/>
        <v>24.151785714285708</v>
      </c>
      <c r="W120" s="211">
        <f t="shared" si="38"/>
        <v>58.080357142857132</v>
      </c>
      <c r="X120" s="211">
        <f t="shared" si="38"/>
        <v>123.66071428571428</v>
      </c>
      <c r="Y120" s="211">
        <f t="shared" si="38"/>
        <v>514.38422097436683</v>
      </c>
      <c r="Z120" s="211">
        <f t="shared" si="38"/>
        <v>5547.1428571428523</v>
      </c>
      <c r="AA120" s="211">
        <f t="shared" ref="AA120:AC120" si="39">($L$108*$B$102)*(2^(((AA107 - 14) - $L$107)/HLOOKUP((AA107-14)-$B$104,$L$131:$AO$133,3,TRUE)))</f>
        <v>23467.832178104338</v>
      </c>
      <c r="AB120" s="211">
        <f t="shared" si="39"/>
        <v>42396.91154169471</v>
      </c>
      <c r="AC120" s="211">
        <f t="shared" si="39"/>
        <v>56919.234564517807</v>
      </c>
      <c r="AD120" s="211">
        <f t="shared" ref="AD120:AN120" si="40">($L$108*$B$102)*(2^(((AD107 - 14) - $L$107)/HLOOKUP((AD107-14)-$B$104,$L$131:$AO$133,3,TRUE)))</f>
        <v>63014.989810986117</v>
      </c>
      <c r="AE120" s="211">
        <f t="shared" si="40"/>
        <v>555817.40744357242</v>
      </c>
      <c r="AF120" s="211">
        <f t="shared" si="40"/>
        <v>615734.11239823885</v>
      </c>
      <c r="AG120" s="211">
        <f t="shared" si="40"/>
        <v>888454.35423313593</v>
      </c>
      <c r="AH120" s="211">
        <f t="shared" si="40"/>
        <v>1444486.6475323588</v>
      </c>
      <c r="AI120" s="238">
        <f t="shared" si="40"/>
        <v>2503774.2011220222</v>
      </c>
      <c r="AJ120" s="208">
        <f t="shared" si="40"/>
        <v>4509360.2702484559</v>
      </c>
      <c r="AK120" s="208">
        <f t="shared" si="40"/>
        <v>8324922.0781681575</v>
      </c>
      <c r="AL120" s="208">
        <f t="shared" si="40"/>
        <v>15631010.145397946</v>
      </c>
      <c r="AM120" s="209">
        <f t="shared" si="40"/>
        <v>29705169.737528458</v>
      </c>
      <c r="AN120" s="208">
        <f t="shared" si="40"/>
        <v>56956748.134650119</v>
      </c>
      <c r="AO120" s="244">
        <f>AO108*B102</f>
        <v>1156979.2500000002</v>
      </c>
      <c r="AP120" s="45"/>
      <c r="AQ120" s="45"/>
      <c r="AR120" s="69"/>
    </row>
    <row r="121" spans="1:44" x14ac:dyDescent="0.25">
      <c r="A121" s="37" t="s">
        <v>161</v>
      </c>
      <c r="B121" s="38"/>
      <c r="C121" s="39"/>
      <c r="D121" s="39"/>
      <c r="E121" s="39"/>
      <c r="F121" s="39"/>
      <c r="G121" s="39"/>
      <c r="H121" s="39"/>
      <c r="I121" s="39"/>
      <c r="J121" s="39"/>
      <c r="K121" s="63"/>
      <c r="L121" s="206">
        <f t="shared" ref="L121:W121" si="41">L120</f>
        <v>0.35133142435370507</v>
      </c>
      <c r="M121" s="207">
        <f t="shared" si="41"/>
        <v>0.8793994084295168</v>
      </c>
      <c r="N121" s="207">
        <f t="shared" si="41"/>
        <v>1.2405438181505943</v>
      </c>
      <c r="O121" s="207">
        <f t="shared" si="41"/>
        <v>1.5603765038925292</v>
      </c>
      <c r="P121" s="207">
        <f t="shared" si="41"/>
        <v>1.9653383070069901</v>
      </c>
      <c r="Q121" s="207">
        <f t="shared" si="41"/>
        <v>2.7724470405161594</v>
      </c>
      <c r="R121" s="207">
        <f t="shared" si="41"/>
        <v>3.0357142857142851</v>
      </c>
      <c r="S121" s="207">
        <f t="shared" si="41"/>
        <v>3.5840256691447028</v>
      </c>
      <c r="T121" s="207">
        <f t="shared" si="41"/>
        <v>6.2103332730529663</v>
      </c>
      <c r="U121" s="207">
        <f t="shared" si="41"/>
        <v>11.368617573959821</v>
      </c>
      <c r="V121" s="207">
        <f t="shared" si="41"/>
        <v>24.151785714285708</v>
      </c>
      <c r="W121" s="207">
        <f t="shared" si="41"/>
        <v>58.080357142857132</v>
      </c>
      <c r="X121" s="205">
        <f>MAX(X120-($L$108*$B$102)*(2^(((X107 - 35) - $L$107)/HLOOKUP((X107-35)-$B$104,$L$131:$AO$133,3,TRUE))),0)</f>
        <v>121.90833273345505</v>
      </c>
      <c r="Y121" s="205">
        <f>MAX(Y120-($L$108*$B$102)*(2^(((Y107 - 35) - $L$107)/HLOOKUP((Y107-35)-$B$104,$L$131:$AO$133,3,TRUE))),0)</f>
        <v>511.27485454338046</v>
      </c>
      <c r="Z121" s="205">
        <f>MAX(Z120-($L$108*$B$102)*(2^(((Z107 - 35) - $L$107)/HLOOKUP((Z107-35)-$B$104,$L$131:$AO$133,3,TRUE))),0)</f>
        <v>5534.0428642552415</v>
      </c>
      <c r="AA121" s="205">
        <f t="shared" ref="AA121:AC121" si="42">MAX(AA120-($L$108*$B$102)*(2^(((AA107 - 35) - $L$107)/HLOOKUP((AA107-35)-$B$104,$L$131:$AO$133,3,TRUE))),0)</f>
        <v>23301.234511703671</v>
      </c>
      <c r="AB121" s="205">
        <f t="shared" si="42"/>
        <v>40015.117670784297</v>
      </c>
      <c r="AC121" s="205">
        <f t="shared" si="42"/>
        <v>41507.535645714423</v>
      </c>
      <c r="AD121" s="205">
        <f t="shared" ref="AD121:AN121" si="43">MAX(AD120-($L$108*$B$102)*(2^(((AD107 - 35) - $L$107)/HLOOKUP((AD107-35)-$B$104,$L$131:$AO$133,3,TRUE))),0)</f>
        <v>952.22239709334099</v>
      </c>
      <c r="AE121" s="205">
        <f t="shared" si="43"/>
        <v>437192.52497634443</v>
      </c>
      <c r="AF121" s="205">
        <f t="shared" si="43"/>
        <v>0</v>
      </c>
      <c r="AG121" s="205">
        <f t="shared" si="43"/>
        <v>0</v>
      </c>
      <c r="AH121" s="205">
        <f t="shared" si="43"/>
        <v>0</v>
      </c>
      <c r="AI121" s="241">
        <f t="shared" si="43"/>
        <v>0</v>
      </c>
      <c r="AJ121" s="203">
        <f t="shared" si="43"/>
        <v>0</v>
      </c>
      <c r="AK121" s="203">
        <f t="shared" si="43"/>
        <v>0</v>
      </c>
      <c r="AL121" s="203">
        <f t="shared" si="43"/>
        <v>0</v>
      </c>
      <c r="AM121" s="204">
        <f t="shared" si="43"/>
        <v>859856.13019547611</v>
      </c>
      <c r="AN121" s="199">
        <f t="shared" si="43"/>
        <v>3929388.0389285982</v>
      </c>
      <c r="AO121" s="244"/>
      <c r="AP121" s="45"/>
      <c r="AQ121" s="45"/>
      <c r="AR121" s="69"/>
    </row>
    <row r="122" spans="1:44" x14ac:dyDescent="0.25">
      <c r="A122" s="41" t="s">
        <v>56</v>
      </c>
      <c r="B122" s="15"/>
      <c r="C122" s="16"/>
      <c r="D122" s="16"/>
      <c r="E122" s="16"/>
      <c r="F122" s="16"/>
      <c r="G122" s="16"/>
      <c r="H122" s="16"/>
      <c r="I122" s="16"/>
      <c r="J122" s="16"/>
      <c r="K122" s="16"/>
      <c r="L122" s="226">
        <f t="shared" ref="L122:AN122" si="44">L108*$B$103</f>
        <v>1.65625</v>
      </c>
      <c r="M122" s="227">
        <f t="shared" si="44"/>
        <v>3.3125</v>
      </c>
      <c r="N122" s="227">
        <f t="shared" si="44"/>
        <v>6.625</v>
      </c>
      <c r="O122" s="227">
        <f t="shared" si="44"/>
        <v>13.25</v>
      </c>
      <c r="P122" s="227">
        <f t="shared" si="44"/>
        <v>26.5</v>
      </c>
      <c r="Q122" s="227">
        <f t="shared" si="44"/>
        <v>53</v>
      </c>
      <c r="R122" s="227">
        <f t="shared" si="44"/>
        <v>106</v>
      </c>
      <c r="S122" s="227">
        <f t="shared" si="44"/>
        <v>212</v>
      </c>
      <c r="T122" s="227">
        <f t="shared" si="44"/>
        <v>424</v>
      </c>
      <c r="U122" s="227">
        <f t="shared" si="44"/>
        <v>848</v>
      </c>
      <c r="V122" s="227">
        <f t="shared" si="44"/>
        <v>1696</v>
      </c>
      <c r="W122" s="227">
        <f t="shared" si="44"/>
        <v>3392</v>
      </c>
      <c r="X122" s="227">
        <f t="shared" si="44"/>
        <v>6784</v>
      </c>
      <c r="Y122" s="227">
        <f t="shared" si="44"/>
        <v>13568</v>
      </c>
      <c r="Z122" s="227">
        <f t="shared" si="44"/>
        <v>27136</v>
      </c>
      <c r="AA122" s="227">
        <f t="shared" ref="AA122:AC122" si="45">AA108*$B$103</f>
        <v>40704</v>
      </c>
      <c r="AB122" s="227">
        <f t="shared" si="45"/>
        <v>47488</v>
      </c>
      <c r="AC122" s="227">
        <f t="shared" si="45"/>
        <v>51015.68</v>
      </c>
      <c r="AD122" s="227">
        <f t="shared" si="44"/>
        <v>54272</v>
      </c>
      <c r="AE122" s="227">
        <f t="shared" si="44"/>
        <v>108544</v>
      </c>
      <c r="AF122" s="227">
        <f t="shared" si="44"/>
        <v>217088</v>
      </c>
      <c r="AG122" s="227">
        <f t="shared" si="44"/>
        <v>434176</v>
      </c>
      <c r="AH122" s="227">
        <f t="shared" si="44"/>
        <v>868352</v>
      </c>
      <c r="AI122" s="240">
        <f t="shared" ref="AI122:AM122" si="46">AI108*$B$103</f>
        <v>1736704</v>
      </c>
      <c r="AJ122" s="199">
        <f t="shared" si="46"/>
        <v>3473408</v>
      </c>
      <c r="AK122" s="199">
        <f t="shared" si="46"/>
        <v>6946816</v>
      </c>
      <c r="AL122" s="199">
        <f t="shared" si="46"/>
        <v>13893632</v>
      </c>
      <c r="AM122" s="200">
        <f t="shared" si="46"/>
        <v>17519971.5</v>
      </c>
      <c r="AN122" s="208">
        <f t="shared" si="44"/>
        <v>17519971.5</v>
      </c>
      <c r="AO122" s="244">
        <f>AO108*B103</f>
        <v>1226398.0050000001</v>
      </c>
      <c r="AP122" s="45"/>
      <c r="AQ122" s="45"/>
      <c r="AR122" s="69"/>
    </row>
    <row r="123" spans="1:44" x14ac:dyDescent="0.25">
      <c r="A123" s="37" t="s">
        <v>55</v>
      </c>
      <c r="B123" s="38"/>
      <c r="C123" s="39"/>
      <c r="D123" s="39"/>
      <c r="E123" s="39"/>
      <c r="F123" s="39"/>
      <c r="G123" s="39"/>
      <c r="H123" s="39"/>
      <c r="I123" s="39"/>
      <c r="J123" s="39"/>
      <c r="K123" s="39"/>
      <c r="L123" s="201"/>
      <c r="M123" s="202"/>
      <c r="N123" s="202"/>
      <c r="O123" s="202"/>
      <c r="P123" s="202"/>
      <c r="Q123" s="202"/>
      <c r="R123" s="202"/>
      <c r="S123" s="202"/>
      <c r="T123" s="202"/>
      <c r="U123" s="202"/>
      <c r="V123" s="202"/>
      <c r="W123" s="202"/>
      <c r="X123" s="210">
        <f>($L$108*$B$103)*(2^(((X107-35)-$L$107)/HLOOKUP((X107-35)-$B$104,$L$131:$AO$133,3,TRUE)))</f>
        <v>1.8575244453947699</v>
      </c>
      <c r="Y123" s="210">
        <f>($L$108*$B$103)*(2^(((Y107-35)-$L$107)/HLOOKUP((Y107-35)-$B$104,$L$131:$AO$133,3,TRUE)))</f>
        <v>3.2959284168455363</v>
      </c>
      <c r="Z123" s="210">
        <f>($L$108*$B$103)*(2^(((Z107-35)-$L$107)/HLOOKUP((Z107-35)-$B$104,$L$131:$AO$133,3,TRUE)))</f>
        <v>13.885992460867691</v>
      </c>
      <c r="AA123" s="210">
        <f t="shared" ref="AA123:AC123" si="47">($L$108*$B$103)*(2^(((AA107-35)-$L$107)/HLOOKUP((AA107-35)-$B$104,$L$131:$AO$133,3,TRUE)))</f>
        <v>176.59352638470506</v>
      </c>
      <c r="AB123" s="210">
        <f t="shared" si="47"/>
        <v>2524.7015031650376</v>
      </c>
      <c r="AC123" s="210">
        <f t="shared" si="47"/>
        <v>16336.400853931587</v>
      </c>
      <c r="AD123" s="210">
        <f t="shared" ref="AD123:AN123" si="48">($L$108*$B$103)*(2^(((AD107-35)-$L$107)/HLOOKUP((AD107-35)-$B$104,$L$131:$AO$133,3,TRUE)))</f>
        <v>65786.53345872635</v>
      </c>
      <c r="AE123" s="210">
        <f t="shared" si="48"/>
        <v>125742.37541526166</v>
      </c>
      <c r="AF123" s="210">
        <f t="shared" si="48"/>
        <v>2911568.5808444279</v>
      </c>
      <c r="AG123" s="210">
        <f t="shared" si="48"/>
        <v>2196940.4916300368</v>
      </c>
      <c r="AH123" s="210">
        <f t="shared" si="48"/>
        <v>2563881.4500071299</v>
      </c>
      <c r="AI123" s="241">
        <f t="shared" si="48"/>
        <v>3643408.1214602692</v>
      </c>
      <c r="AJ123" s="203">
        <f t="shared" si="48"/>
        <v>5754306.7811305625</v>
      </c>
      <c r="AK123" s="203">
        <f t="shared" si="48"/>
        <v>9681243.4613141324</v>
      </c>
      <c r="AL123" s="203">
        <f t="shared" si="48"/>
        <v>16966774.803152613</v>
      </c>
      <c r="AM123" s="204">
        <f t="shared" si="48"/>
        <v>30576032.423772961</v>
      </c>
      <c r="AN123" s="203">
        <f t="shared" si="48"/>
        <v>56209001.701464809</v>
      </c>
      <c r="AO123" s="247">
        <f>($L$108*$B$103)*(2^(((AO107 - 35) - $L$107)/AO133))</f>
        <v>4849621.0749453343</v>
      </c>
      <c r="AP123" s="45"/>
      <c r="AQ123" s="45"/>
      <c r="AR123" s="69"/>
    </row>
    <row r="124" spans="1:44" s="69" customFormat="1" hidden="1" x14ac:dyDescent="0.25">
      <c r="A124" s="48" t="s">
        <v>106</v>
      </c>
      <c r="B124" s="25"/>
      <c r="C124" s="47"/>
      <c r="D124" s="47"/>
      <c r="E124" s="47"/>
      <c r="F124" s="47"/>
      <c r="G124" s="47"/>
      <c r="H124" s="47"/>
      <c r="I124" s="47"/>
      <c r="J124" s="47"/>
      <c r="K124" s="47"/>
      <c r="L124" s="150">
        <f t="shared" ref="L124:AN124" si="49">L107-7</f>
        <v>43875</v>
      </c>
      <c r="M124" s="150">
        <f t="shared" si="49"/>
        <v>43883</v>
      </c>
      <c r="N124" s="150">
        <f t="shared" si="49"/>
        <v>43886</v>
      </c>
      <c r="O124" s="150">
        <f t="shared" si="49"/>
        <v>43888</v>
      </c>
      <c r="P124" s="150">
        <f t="shared" si="49"/>
        <v>43891</v>
      </c>
      <c r="Q124" s="150">
        <f t="shared" si="49"/>
        <v>43894</v>
      </c>
      <c r="R124" s="150">
        <f t="shared" si="49"/>
        <v>43897</v>
      </c>
      <c r="S124" s="150">
        <f t="shared" si="49"/>
        <v>43899</v>
      </c>
      <c r="T124" s="150">
        <f t="shared" si="49"/>
        <v>43901</v>
      </c>
      <c r="U124" s="150">
        <f t="shared" si="49"/>
        <v>43903</v>
      </c>
      <c r="V124" s="150">
        <f t="shared" si="49"/>
        <v>43905</v>
      </c>
      <c r="W124" s="150">
        <f t="shared" si="49"/>
        <v>43908</v>
      </c>
      <c r="X124" s="150">
        <f t="shared" si="49"/>
        <v>43911</v>
      </c>
      <c r="Y124" s="150">
        <f t="shared" si="49"/>
        <v>43916</v>
      </c>
      <c r="Z124" s="150">
        <f t="shared" si="49"/>
        <v>43925</v>
      </c>
      <c r="AA124" s="150"/>
      <c r="AB124" s="150"/>
      <c r="AC124" s="150"/>
      <c r="AD124" s="150">
        <f t="shared" si="49"/>
        <v>43959</v>
      </c>
      <c r="AE124" s="150">
        <f t="shared" si="49"/>
        <v>43993</v>
      </c>
      <c r="AF124" s="150">
        <f t="shared" si="49"/>
        <v>44027</v>
      </c>
      <c r="AG124" s="150">
        <f t="shared" si="49"/>
        <v>44061</v>
      </c>
      <c r="AH124" s="150">
        <f t="shared" si="49"/>
        <v>44095</v>
      </c>
      <c r="AI124" s="150"/>
      <c r="AJ124" s="150"/>
      <c r="AK124" s="150"/>
      <c r="AL124" s="150"/>
      <c r="AM124" s="150"/>
      <c r="AN124" s="150">
        <f t="shared" si="49"/>
        <v>44299</v>
      </c>
      <c r="AO124" s="150"/>
      <c r="AP124" s="45"/>
      <c r="AQ124" s="45"/>
    </row>
    <row r="125" spans="1:44" s="69" customFormat="1" hidden="1" x14ac:dyDescent="0.25">
      <c r="A125" s="48" t="s">
        <v>104</v>
      </c>
      <c r="B125" s="25"/>
      <c r="C125" s="47"/>
      <c r="D125" s="47"/>
      <c r="E125" s="47"/>
      <c r="F125" s="47"/>
      <c r="G125" s="47"/>
      <c r="H125" s="47"/>
      <c r="I125" s="47"/>
      <c r="J125" s="47"/>
      <c r="K125" s="47"/>
      <c r="L125" s="150">
        <f t="shared" ref="L125:AN125" si="50">L107-14</f>
        <v>43868</v>
      </c>
      <c r="M125" s="150">
        <f t="shared" si="50"/>
        <v>43876</v>
      </c>
      <c r="N125" s="150">
        <f t="shared" si="50"/>
        <v>43879</v>
      </c>
      <c r="O125" s="150">
        <f t="shared" si="50"/>
        <v>43881</v>
      </c>
      <c r="P125" s="150">
        <f t="shared" si="50"/>
        <v>43884</v>
      </c>
      <c r="Q125" s="150">
        <f t="shared" si="50"/>
        <v>43887</v>
      </c>
      <c r="R125" s="150">
        <f t="shared" si="50"/>
        <v>43890</v>
      </c>
      <c r="S125" s="150">
        <f t="shared" si="50"/>
        <v>43892</v>
      </c>
      <c r="T125" s="150">
        <f t="shared" si="50"/>
        <v>43894</v>
      </c>
      <c r="U125" s="150">
        <f t="shared" si="50"/>
        <v>43896</v>
      </c>
      <c r="V125" s="150">
        <f t="shared" si="50"/>
        <v>43898</v>
      </c>
      <c r="W125" s="150">
        <f t="shared" si="50"/>
        <v>43901</v>
      </c>
      <c r="X125" s="150">
        <f t="shared" si="50"/>
        <v>43904</v>
      </c>
      <c r="Y125" s="150">
        <f t="shared" si="50"/>
        <v>43909</v>
      </c>
      <c r="Z125" s="150">
        <f t="shared" si="50"/>
        <v>43918</v>
      </c>
      <c r="AA125" s="150"/>
      <c r="AB125" s="150"/>
      <c r="AC125" s="150"/>
      <c r="AD125" s="150">
        <f t="shared" si="50"/>
        <v>43952</v>
      </c>
      <c r="AE125" s="150">
        <f t="shared" si="50"/>
        <v>43986</v>
      </c>
      <c r="AF125" s="150">
        <f t="shared" si="50"/>
        <v>44020</v>
      </c>
      <c r="AG125" s="150">
        <f t="shared" si="50"/>
        <v>44054</v>
      </c>
      <c r="AH125" s="150">
        <f t="shared" si="50"/>
        <v>44088</v>
      </c>
      <c r="AI125" s="150"/>
      <c r="AJ125" s="150"/>
      <c r="AK125" s="150"/>
      <c r="AL125" s="150"/>
      <c r="AM125" s="150"/>
      <c r="AN125" s="150">
        <f t="shared" si="50"/>
        <v>44292</v>
      </c>
      <c r="AO125" s="150"/>
      <c r="AP125" s="45"/>
      <c r="AQ125" s="45"/>
    </row>
    <row r="126" spans="1:44" s="69" customFormat="1" hidden="1" x14ac:dyDescent="0.25">
      <c r="A126" s="48" t="s">
        <v>107</v>
      </c>
      <c r="B126" s="25"/>
      <c r="C126" s="47"/>
      <c r="D126" s="47"/>
      <c r="E126" s="47"/>
      <c r="F126" s="47"/>
      <c r="G126" s="47"/>
      <c r="H126" s="47"/>
      <c r="I126" s="47"/>
      <c r="J126" s="47"/>
      <c r="K126" s="47"/>
      <c r="L126" s="150">
        <f t="shared" ref="L126:AN126" si="51">L107-(7*5)</f>
        <v>43847</v>
      </c>
      <c r="M126" s="150">
        <f t="shared" si="51"/>
        <v>43855</v>
      </c>
      <c r="N126" s="150">
        <f t="shared" si="51"/>
        <v>43858</v>
      </c>
      <c r="O126" s="150">
        <f t="shared" si="51"/>
        <v>43860</v>
      </c>
      <c r="P126" s="150">
        <f t="shared" si="51"/>
        <v>43863</v>
      </c>
      <c r="Q126" s="150">
        <f t="shared" si="51"/>
        <v>43866</v>
      </c>
      <c r="R126" s="150">
        <f t="shared" si="51"/>
        <v>43869</v>
      </c>
      <c r="S126" s="150">
        <f t="shared" si="51"/>
        <v>43871</v>
      </c>
      <c r="T126" s="150">
        <f t="shared" si="51"/>
        <v>43873</v>
      </c>
      <c r="U126" s="150">
        <f t="shared" si="51"/>
        <v>43875</v>
      </c>
      <c r="V126" s="150">
        <f t="shared" si="51"/>
        <v>43877</v>
      </c>
      <c r="W126" s="150">
        <f t="shared" si="51"/>
        <v>43880</v>
      </c>
      <c r="X126" s="150">
        <f t="shared" si="51"/>
        <v>43883</v>
      </c>
      <c r="Y126" s="150">
        <f t="shared" si="51"/>
        <v>43888</v>
      </c>
      <c r="Z126" s="150">
        <f t="shared" si="51"/>
        <v>43897</v>
      </c>
      <c r="AA126" s="150"/>
      <c r="AB126" s="150"/>
      <c r="AC126" s="150"/>
      <c r="AD126" s="150">
        <f t="shared" si="51"/>
        <v>43931</v>
      </c>
      <c r="AE126" s="150">
        <f t="shared" si="51"/>
        <v>43965</v>
      </c>
      <c r="AF126" s="150">
        <f t="shared" si="51"/>
        <v>43999</v>
      </c>
      <c r="AG126" s="150">
        <f t="shared" si="51"/>
        <v>44033</v>
      </c>
      <c r="AH126" s="150">
        <f t="shared" si="51"/>
        <v>44067</v>
      </c>
      <c r="AI126" s="150"/>
      <c r="AJ126" s="150"/>
      <c r="AK126" s="150"/>
      <c r="AL126" s="150"/>
      <c r="AM126" s="150"/>
      <c r="AN126" s="150">
        <f t="shared" si="51"/>
        <v>44271</v>
      </c>
      <c r="AO126" s="150"/>
      <c r="AP126" s="45"/>
      <c r="AQ126" s="45"/>
    </row>
    <row r="127" spans="1:44" s="69" customFormat="1" hidden="1" x14ac:dyDescent="0.25">
      <c r="A127" s="48" t="s">
        <v>105</v>
      </c>
      <c r="B127" s="25"/>
      <c r="C127" s="47"/>
      <c r="D127" s="47"/>
      <c r="E127" s="47"/>
      <c r="F127" s="47"/>
      <c r="G127" s="47"/>
      <c r="H127" s="47"/>
      <c r="I127" s="47"/>
      <c r="J127" s="47"/>
      <c r="K127" s="47"/>
      <c r="L127" s="150">
        <f t="shared" ref="L127:AN127" si="52">L107-(6*7)</f>
        <v>43840</v>
      </c>
      <c r="M127" s="150">
        <f t="shared" si="52"/>
        <v>43848</v>
      </c>
      <c r="N127" s="150">
        <f t="shared" si="52"/>
        <v>43851</v>
      </c>
      <c r="O127" s="150">
        <f t="shared" si="52"/>
        <v>43853</v>
      </c>
      <c r="P127" s="150">
        <f t="shared" si="52"/>
        <v>43856</v>
      </c>
      <c r="Q127" s="150">
        <f t="shared" si="52"/>
        <v>43859</v>
      </c>
      <c r="R127" s="150">
        <f t="shared" si="52"/>
        <v>43862</v>
      </c>
      <c r="S127" s="150">
        <f t="shared" si="52"/>
        <v>43864</v>
      </c>
      <c r="T127" s="150">
        <f t="shared" si="52"/>
        <v>43866</v>
      </c>
      <c r="U127" s="150">
        <f t="shared" si="52"/>
        <v>43868</v>
      </c>
      <c r="V127" s="150">
        <f t="shared" si="52"/>
        <v>43870</v>
      </c>
      <c r="W127" s="150">
        <f t="shared" si="52"/>
        <v>43873</v>
      </c>
      <c r="X127" s="150">
        <f t="shared" si="52"/>
        <v>43876</v>
      </c>
      <c r="Y127" s="150">
        <f t="shared" si="52"/>
        <v>43881</v>
      </c>
      <c r="Z127" s="150">
        <f t="shared" si="52"/>
        <v>43890</v>
      </c>
      <c r="AA127" s="150"/>
      <c r="AB127" s="150"/>
      <c r="AC127" s="150"/>
      <c r="AD127" s="150">
        <f t="shared" si="52"/>
        <v>43924</v>
      </c>
      <c r="AE127" s="150">
        <f t="shared" si="52"/>
        <v>43958</v>
      </c>
      <c r="AF127" s="150">
        <f t="shared" si="52"/>
        <v>43992</v>
      </c>
      <c r="AG127" s="150">
        <f t="shared" si="52"/>
        <v>44026</v>
      </c>
      <c r="AH127" s="150">
        <f t="shared" si="52"/>
        <v>44060</v>
      </c>
      <c r="AI127" s="150"/>
      <c r="AJ127" s="150"/>
      <c r="AK127" s="150"/>
      <c r="AL127" s="150"/>
      <c r="AM127" s="150"/>
      <c r="AN127" s="150">
        <f t="shared" si="52"/>
        <v>44264</v>
      </c>
      <c r="AO127" s="150"/>
      <c r="AP127" s="45"/>
      <c r="AQ127" s="45"/>
    </row>
    <row r="129" spans="1:41" x14ac:dyDescent="0.25">
      <c r="A129" s="53" t="s">
        <v>48</v>
      </c>
      <c r="B129" s="15"/>
      <c r="C129" s="16"/>
      <c r="D129" s="16"/>
      <c r="E129" s="16"/>
      <c r="F129" s="16"/>
      <c r="G129" s="16"/>
      <c r="H129" s="16"/>
      <c r="I129" s="16"/>
      <c r="J129" s="16"/>
      <c r="K129" s="16"/>
    </row>
    <row r="130" spans="1:41" s="69" customFormat="1" x14ac:dyDescent="0.25">
      <c r="A130" s="143" t="s">
        <v>102</v>
      </c>
      <c r="B130" s="25"/>
      <c r="C130" s="47"/>
      <c r="D130" s="47"/>
      <c r="E130" s="47"/>
      <c r="F130" s="47"/>
      <c r="G130" s="47"/>
      <c r="H130" s="47"/>
      <c r="I130" s="47"/>
      <c r="J130" s="47"/>
      <c r="K130" s="47"/>
      <c r="L130" s="141">
        <f t="shared" ref="L130:AO130" si="53">(L107-$B$104)/7</f>
        <v>4.4285714285714288</v>
      </c>
      <c r="M130" s="141">
        <f t="shared" si="53"/>
        <v>5.5714285714285712</v>
      </c>
      <c r="N130" s="145">
        <f t="shared" si="53"/>
        <v>6</v>
      </c>
      <c r="O130" s="145">
        <f t="shared" si="53"/>
        <v>6.2857142857142856</v>
      </c>
      <c r="P130" s="141">
        <f t="shared" si="53"/>
        <v>6.7142857142857144</v>
      </c>
      <c r="Q130" s="145">
        <f t="shared" si="53"/>
        <v>7.1428571428571432</v>
      </c>
      <c r="R130" s="141">
        <f t="shared" si="53"/>
        <v>7.5714285714285712</v>
      </c>
      <c r="S130" s="145">
        <f t="shared" si="53"/>
        <v>7.8571428571428568</v>
      </c>
      <c r="T130" s="145">
        <f t="shared" si="53"/>
        <v>8.1428571428571423</v>
      </c>
      <c r="U130" s="142">
        <f t="shared" si="53"/>
        <v>8.4285714285714288</v>
      </c>
      <c r="V130" s="145">
        <f t="shared" si="53"/>
        <v>8.7142857142857135</v>
      </c>
      <c r="W130" s="145">
        <f t="shared" si="53"/>
        <v>9.1428571428571423</v>
      </c>
      <c r="X130" s="141">
        <f t="shared" si="53"/>
        <v>9.5714285714285712</v>
      </c>
      <c r="Y130" s="142">
        <f t="shared" si="53"/>
        <v>10.285714285714286</v>
      </c>
      <c r="Z130" s="142">
        <f t="shared" si="53"/>
        <v>11.571428571428571</v>
      </c>
      <c r="AA130" s="144">
        <f t="shared" ref="AA130:AC130" si="54">(AA107-$B$104)/7</f>
        <v>12.785714285714286</v>
      </c>
      <c r="AB130" s="144">
        <f t="shared" si="54"/>
        <v>14</v>
      </c>
      <c r="AC130" s="144">
        <f t="shared" si="54"/>
        <v>15.214285714285714</v>
      </c>
      <c r="AD130" s="144">
        <f t="shared" si="53"/>
        <v>16.428571428571427</v>
      </c>
      <c r="AE130" s="144">
        <f t="shared" si="53"/>
        <v>21.285714285714285</v>
      </c>
      <c r="AF130" s="142">
        <f t="shared" si="53"/>
        <v>26.142857142857142</v>
      </c>
      <c r="AG130" s="144">
        <f t="shared" si="53"/>
        <v>31</v>
      </c>
      <c r="AH130" s="141">
        <f t="shared" si="53"/>
        <v>35.857142857142854</v>
      </c>
      <c r="AI130" s="141">
        <f t="shared" ref="AI130:AM130" si="55">(AI107-$B$104)/7</f>
        <v>40.714285714285715</v>
      </c>
      <c r="AJ130" s="141">
        <f t="shared" si="55"/>
        <v>45.571428571428569</v>
      </c>
      <c r="AK130" s="141">
        <f t="shared" si="55"/>
        <v>50.428571428571431</v>
      </c>
      <c r="AL130" s="141">
        <f t="shared" si="55"/>
        <v>55.285714285714285</v>
      </c>
      <c r="AM130" s="141">
        <f t="shared" si="55"/>
        <v>60.142857142857146</v>
      </c>
      <c r="AN130" s="144">
        <f t="shared" si="53"/>
        <v>65</v>
      </c>
      <c r="AO130" s="144">
        <f t="shared" si="53"/>
        <v>73</v>
      </c>
    </row>
    <row r="131" spans="1:41" s="69" customFormat="1" x14ac:dyDescent="0.25">
      <c r="A131" s="143" t="s">
        <v>101</v>
      </c>
      <c r="B131" s="25"/>
      <c r="C131" s="47"/>
      <c r="D131" s="47"/>
      <c r="E131" s="47"/>
      <c r="F131" s="47"/>
      <c r="G131" s="47"/>
      <c r="H131" s="47"/>
      <c r="I131" s="47"/>
      <c r="J131" s="47"/>
      <c r="K131" s="47"/>
      <c r="L131" s="269">
        <f>L107-$B$104</f>
        <v>31</v>
      </c>
      <c r="M131" s="234">
        <f t="shared" ref="M131:Q131" si="56">M107-$B$104</f>
        <v>39</v>
      </c>
      <c r="N131" s="234">
        <f t="shared" si="56"/>
        <v>42</v>
      </c>
      <c r="O131" s="234">
        <f t="shared" si="56"/>
        <v>44</v>
      </c>
      <c r="P131" s="234">
        <f t="shared" si="56"/>
        <v>47</v>
      </c>
      <c r="Q131" s="234">
        <f t="shared" si="56"/>
        <v>50</v>
      </c>
      <c r="R131" s="234">
        <f>R107-$B$104</f>
        <v>53</v>
      </c>
      <c r="S131" s="234">
        <f t="shared" ref="S131:AO131" si="57">S107-$B$104</f>
        <v>55</v>
      </c>
      <c r="T131" s="234">
        <f t="shared" si="57"/>
        <v>57</v>
      </c>
      <c r="U131" s="234">
        <f t="shared" si="57"/>
        <v>59</v>
      </c>
      <c r="V131" s="234">
        <f t="shared" si="57"/>
        <v>61</v>
      </c>
      <c r="W131" s="234">
        <f t="shared" si="57"/>
        <v>64</v>
      </c>
      <c r="X131" s="234">
        <f t="shared" si="57"/>
        <v>67</v>
      </c>
      <c r="Y131" s="234">
        <f t="shared" si="57"/>
        <v>72</v>
      </c>
      <c r="Z131" s="234">
        <f t="shared" si="57"/>
        <v>81</v>
      </c>
      <c r="AA131" s="234">
        <f t="shared" ref="AA131:AC131" si="58">AA107-$B$104</f>
        <v>89.5</v>
      </c>
      <c r="AB131" s="234">
        <f t="shared" si="58"/>
        <v>98</v>
      </c>
      <c r="AC131" s="234">
        <f t="shared" si="58"/>
        <v>106.5</v>
      </c>
      <c r="AD131" s="234">
        <f t="shared" si="57"/>
        <v>115</v>
      </c>
      <c r="AE131" s="234">
        <f t="shared" si="57"/>
        <v>149</v>
      </c>
      <c r="AF131" s="234">
        <f t="shared" si="57"/>
        <v>183</v>
      </c>
      <c r="AG131" s="234">
        <f t="shared" si="57"/>
        <v>217</v>
      </c>
      <c r="AH131" s="235">
        <f t="shared" si="57"/>
        <v>251</v>
      </c>
      <c r="AI131" s="262">
        <f t="shared" ref="AI131:AM131" si="59">AI107-$B$104</f>
        <v>285</v>
      </c>
      <c r="AJ131" s="191">
        <f t="shared" si="59"/>
        <v>319</v>
      </c>
      <c r="AK131" s="191">
        <f t="shared" si="59"/>
        <v>353</v>
      </c>
      <c r="AL131" s="191">
        <f t="shared" si="59"/>
        <v>387</v>
      </c>
      <c r="AM131" s="191">
        <f t="shared" si="59"/>
        <v>421</v>
      </c>
      <c r="AN131" s="191">
        <f t="shared" si="57"/>
        <v>455</v>
      </c>
      <c r="AO131" s="191">
        <f t="shared" si="57"/>
        <v>511</v>
      </c>
    </row>
    <row r="132" spans="1:41" x14ac:dyDescent="0.25">
      <c r="A132" s="41" t="s">
        <v>42</v>
      </c>
      <c r="B132" s="16"/>
      <c r="C132" s="16"/>
      <c r="D132" s="16"/>
      <c r="E132" s="16"/>
      <c r="F132" s="16"/>
      <c r="G132" s="16"/>
      <c r="H132" s="16"/>
      <c r="I132" s="16"/>
      <c r="J132" s="16"/>
      <c r="K132" s="16"/>
      <c r="L132" s="146">
        <v>35</v>
      </c>
      <c r="M132" s="147">
        <v>68</v>
      </c>
      <c r="N132" s="148">
        <v>124</v>
      </c>
      <c r="O132" s="148">
        <v>221</v>
      </c>
      <c r="P132" s="148">
        <v>541</v>
      </c>
      <c r="Q132" s="148">
        <v>1301</v>
      </c>
      <c r="R132" s="148">
        <v>2770</v>
      </c>
      <c r="S132" s="148">
        <v>4596</v>
      </c>
      <c r="T132" s="148">
        <v>9296</v>
      </c>
      <c r="U132" s="148">
        <v>19497</v>
      </c>
      <c r="V132" s="148">
        <v>33745</v>
      </c>
      <c r="W132" s="148">
        <v>68673</v>
      </c>
      <c r="X132" s="148">
        <v>124256</v>
      </c>
      <c r="Y132" s="148">
        <v>246729</v>
      </c>
      <c r="Z132" s="148">
        <v>532879</v>
      </c>
      <c r="AA132" s="148">
        <v>763832</v>
      </c>
      <c r="AB132" s="183">
        <v>896000</v>
      </c>
      <c r="AC132" s="183">
        <v>962560</v>
      </c>
      <c r="AD132" s="183">
        <f>Z132*2</f>
        <v>1065758</v>
      </c>
      <c r="AE132" s="183">
        <f t="shared" ref="AE132:AH132" si="60">AD132*2</f>
        <v>2131516</v>
      </c>
      <c r="AF132" s="183">
        <f t="shared" si="60"/>
        <v>4263032</v>
      </c>
      <c r="AG132" s="183">
        <f t="shared" si="60"/>
        <v>8526064</v>
      </c>
      <c r="AH132" s="183">
        <f t="shared" si="60"/>
        <v>17052128</v>
      </c>
      <c r="AI132" s="187">
        <f t="shared" ref="AI132" si="61">AH132*2</f>
        <v>34104256</v>
      </c>
      <c r="AJ132" s="187">
        <f t="shared" ref="AJ132" si="62">AI132*2</f>
        <v>68208512</v>
      </c>
      <c r="AK132" s="187">
        <f t="shared" ref="AK132" si="63">AJ132*2</f>
        <v>136417024</v>
      </c>
      <c r="AL132" s="187">
        <f t="shared" ref="AL132" si="64">AK132*2</f>
        <v>272834048</v>
      </c>
      <c r="AM132" s="187">
        <f t="shared" ref="AM132" si="65">AL132*2</f>
        <v>545668096</v>
      </c>
      <c r="AN132" s="187">
        <f>AN108</f>
        <v>330565500</v>
      </c>
      <c r="AO132" s="188">
        <f>AN108</f>
        <v>330565500</v>
      </c>
    </row>
    <row r="133" spans="1:41" x14ac:dyDescent="0.25">
      <c r="A133" s="41" t="s">
        <v>158</v>
      </c>
      <c r="B133" s="16"/>
      <c r="C133" s="16"/>
      <c r="D133" s="16"/>
      <c r="E133" s="16"/>
      <c r="F133" s="16"/>
      <c r="G133" s="16"/>
      <c r="H133" s="16"/>
      <c r="I133" s="16"/>
      <c r="J133" s="16"/>
      <c r="K133" s="16"/>
      <c r="L133" s="194">
        <f>(L107-B104)/(LOG(L132/1)/LOG(2))</f>
        <v>6.0437296787073755</v>
      </c>
      <c r="M133" s="174">
        <f>(M107-$L$107)/(LOG(M132/$L$132)/LOG(2))</f>
        <v>8.3491634837954933</v>
      </c>
      <c r="N133" s="174">
        <f t="shared" ref="N133:AO133" si="66">(N107-$L$107)/(LOG(N132/$L$132)/LOG(2))</f>
        <v>6.0276836381926202</v>
      </c>
      <c r="O133" s="174">
        <f t="shared" si="66"/>
        <v>4.8897556767514709</v>
      </c>
      <c r="P133" s="174">
        <f t="shared" si="66"/>
        <v>4.0504260147273037</v>
      </c>
      <c r="Q133" s="174">
        <f t="shared" si="66"/>
        <v>3.6425526786068976</v>
      </c>
      <c r="R133" s="174">
        <f t="shared" si="66"/>
        <v>3.4885266554096432</v>
      </c>
      <c r="S133" s="174">
        <f t="shared" si="66"/>
        <v>3.4106023942314652</v>
      </c>
      <c r="T133" s="174">
        <f t="shared" si="66"/>
        <v>3.2285658193110911</v>
      </c>
      <c r="U133" s="174">
        <f t="shared" si="66"/>
        <v>3.0696094738227448</v>
      </c>
      <c r="V133" s="174">
        <f t="shared" si="66"/>
        <v>3.0262975828994785</v>
      </c>
      <c r="W133" s="174">
        <f t="shared" si="66"/>
        <v>3.0169573981449558</v>
      </c>
      <c r="X133" s="174">
        <f t="shared" si="66"/>
        <v>3.0524841647231944</v>
      </c>
      <c r="Y133" s="174">
        <f t="shared" si="66"/>
        <v>3.2073133617644127</v>
      </c>
      <c r="Z133" s="174">
        <f t="shared" si="66"/>
        <v>3.598632838088669</v>
      </c>
      <c r="AA133" s="174">
        <f t="shared" si="66"/>
        <v>4.0586632050209248</v>
      </c>
      <c r="AB133" s="184">
        <f t="shared" si="66"/>
        <v>4.5752975945491521</v>
      </c>
      <c r="AC133" s="184">
        <f t="shared" si="66"/>
        <v>5.1196041481621277</v>
      </c>
      <c r="AD133" s="184">
        <f t="shared" ref="AD133" si="67">(AD107-$L$107)/(LOG(AD132/$L$132)/LOG(2))</f>
        <v>5.6397923303863831</v>
      </c>
      <c r="AE133" s="184">
        <f t="shared" si="66"/>
        <v>7.4241079512184625</v>
      </c>
      <c r="AF133" s="184">
        <f t="shared" si="66"/>
        <v>8.9971890334201383</v>
      </c>
      <c r="AG133" s="184">
        <f t="shared" si="66"/>
        <v>10.394449556934573</v>
      </c>
      <c r="AH133" s="184">
        <f t="shared" si="66"/>
        <v>11.643806165014205</v>
      </c>
      <c r="AI133" s="189">
        <f t="shared" ref="AI133" si="68">(AI107-$L$107)/(LOG(AI132/$L$132)/LOG(2))</f>
        <v>12.767562469625366</v>
      </c>
      <c r="AJ133" s="189">
        <f t="shared" ref="AJ133" si="69">(AJ107-$L$107)/(LOG(AJ132/$L$132)/LOG(2))</f>
        <v>13.783752256876364</v>
      </c>
      <c r="AK133" s="189">
        <f t="shared" ref="AK133" si="70">(AK107-$L$107)/(LOG(AK132/$L$132)/LOG(2))</f>
        <v>14.707114592889942</v>
      </c>
      <c r="AL133" s="189">
        <f t="shared" ref="AL133" si="71">(AL107-$L$107)/(LOG(AL132/$L$132)/LOG(2))</f>
        <v>15.54981337831042</v>
      </c>
      <c r="AM133" s="189">
        <f t="shared" ref="AM133" si="72">(AM107-$L$107)/(LOG(AM132/$L$132)/LOG(2))</f>
        <v>16.321976217402344</v>
      </c>
      <c r="AN133" s="189">
        <f t="shared" si="66"/>
        <v>18.298673964590165</v>
      </c>
      <c r="AO133" s="190">
        <f t="shared" si="66"/>
        <v>20.715479959913392</v>
      </c>
    </row>
    <row r="134" spans="1:41" x14ac:dyDescent="0.25">
      <c r="A134" s="41" t="s">
        <v>198</v>
      </c>
      <c r="B134" s="16"/>
      <c r="C134" s="16"/>
      <c r="D134" s="16"/>
      <c r="E134" s="16"/>
      <c r="F134" s="16"/>
      <c r="G134" s="16"/>
      <c r="H134" s="16"/>
      <c r="I134" s="16"/>
      <c r="J134" s="16"/>
      <c r="K134" s="16"/>
      <c r="L134" s="266">
        <v>29</v>
      </c>
      <c r="M134" s="263">
        <v>60</v>
      </c>
      <c r="N134" s="263">
        <v>106</v>
      </c>
      <c r="O134" s="263">
        <v>200</v>
      </c>
      <c r="P134" s="263">
        <v>504</v>
      </c>
      <c r="Q134" s="263">
        <v>1248</v>
      </c>
      <c r="R134" s="263">
        <v>2664</v>
      </c>
      <c r="S134" s="263">
        <v>4434</v>
      </c>
      <c r="T134" s="263">
        <v>9032</v>
      </c>
      <c r="U134" s="263">
        <v>19092</v>
      </c>
      <c r="V134" s="263">
        <v>33150</v>
      </c>
      <c r="W134" s="263">
        <v>67231</v>
      </c>
      <c r="X134" s="263">
        <v>118766</v>
      </c>
      <c r="Y134" s="263">
        <v>230155</v>
      </c>
      <c r="Z134" s="263">
        <v>481849</v>
      </c>
      <c r="AA134" s="263">
        <v>652276</v>
      </c>
      <c r="AB134" s="267"/>
      <c r="AC134" s="267"/>
      <c r="AD134" s="267"/>
      <c r="AE134" s="267"/>
      <c r="AF134" s="267"/>
      <c r="AG134" s="267"/>
      <c r="AH134" s="267"/>
      <c r="AI134" s="189"/>
      <c r="AJ134" s="189"/>
      <c r="AK134" s="189"/>
      <c r="AL134" s="189"/>
      <c r="AM134" s="189"/>
      <c r="AN134" s="189"/>
      <c r="AO134" s="190"/>
    </row>
    <row r="135" spans="1:41" x14ac:dyDescent="0.25">
      <c r="A135" s="41" t="s">
        <v>63</v>
      </c>
      <c r="B135" s="16"/>
      <c r="C135" s="16"/>
      <c r="D135" s="16"/>
      <c r="E135" s="16"/>
      <c r="F135" s="16"/>
      <c r="G135" s="16"/>
      <c r="H135" s="16"/>
      <c r="I135" s="16"/>
      <c r="J135" s="16"/>
      <c r="K135" s="16"/>
      <c r="L135" s="233">
        <f>L132-L136-L134</f>
        <v>6</v>
      </c>
      <c r="M135" s="149">
        <f t="shared" ref="M135:AA135" si="73">M132-M136-M134</f>
        <v>7</v>
      </c>
      <c r="N135" s="149">
        <f t="shared" si="73"/>
        <v>9</v>
      </c>
      <c r="O135" s="149">
        <f t="shared" si="73"/>
        <v>9</v>
      </c>
      <c r="P135" s="149">
        <f t="shared" si="73"/>
        <v>15</v>
      </c>
      <c r="Q135" s="149">
        <f t="shared" si="73"/>
        <v>15</v>
      </c>
      <c r="R135" s="149">
        <f t="shared" si="73"/>
        <v>49</v>
      </c>
      <c r="S135" s="149">
        <f t="shared" si="73"/>
        <v>75</v>
      </c>
      <c r="T135" s="149">
        <f t="shared" si="73"/>
        <v>114</v>
      </c>
      <c r="U135" s="149">
        <f t="shared" si="73"/>
        <v>150</v>
      </c>
      <c r="V135" s="149">
        <f t="shared" si="73"/>
        <v>181</v>
      </c>
      <c r="W135" s="149">
        <f t="shared" si="73"/>
        <v>414</v>
      </c>
      <c r="X135" s="149">
        <f t="shared" si="73"/>
        <v>3268</v>
      </c>
      <c r="Y135" s="149">
        <f t="shared" si="73"/>
        <v>10486</v>
      </c>
      <c r="Z135" s="149">
        <f t="shared" si="73"/>
        <v>30453</v>
      </c>
      <c r="AA135" s="149">
        <f t="shared" si="73"/>
        <v>71003</v>
      </c>
      <c r="AB135" s="253"/>
      <c r="AC135" s="253"/>
      <c r="AD135" s="253"/>
      <c r="AE135" s="253"/>
      <c r="AF135" s="185"/>
      <c r="AG135" s="185"/>
      <c r="AH135" s="185"/>
      <c r="AI135" s="187"/>
      <c r="AJ135" s="107"/>
      <c r="AK135" s="107"/>
      <c r="AL135" s="107"/>
      <c r="AM135" s="107"/>
      <c r="AN135" s="107"/>
      <c r="AO135" s="108"/>
    </row>
    <row r="136" spans="1:41" x14ac:dyDescent="0.25">
      <c r="A136" s="49" t="s">
        <v>43</v>
      </c>
      <c r="B136" s="38"/>
      <c r="C136" s="39"/>
      <c r="D136" s="39"/>
      <c r="E136" s="39"/>
      <c r="F136" s="39"/>
      <c r="G136" s="39"/>
      <c r="H136" s="39"/>
      <c r="I136" s="39"/>
      <c r="J136" s="39"/>
      <c r="K136" s="39"/>
      <c r="L136" s="67">
        <v>0</v>
      </c>
      <c r="M136" s="68">
        <v>1</v>
      </c>
      <c r="N136" s="52">
        <v>9</v>
      </c>
      <c r="O136" s="52">
        <v>12</v>
      </c>
      <c r="P136" s="52">
        <v>22</v>
      </c>
      <c r="Q136" s="52">
        <v>38</v>
      </c>
      <c r="R136" s="52">
        <v>57</v>
      </c>
      <c r="S136" s="52">
        <v>87</v>
      </c>
      <c r="T136" s="52">
        <v>150</v>
      </c>
      <c r="U136" s="52">
        <v>255</v>
      </c>
      <c r="V136" s="52">
        <v>414</v>
      </c>
      <c r="W136" s="52">
        <v>1028</v>
      </c>
      <c r="X136" s="52">
        <v>2222</v>
      </c>
      <c r="Y136" s="52">
        <v>6088</v>
      </c>
      <c r="Z136" s="52">
        <v>20577</v>
      </c>
      <c r="AA136" s="52">
        <v>40553</v>
      </c>
      <c r="AB136" s="254"/>
      <c r="AC136" s="254"/>
      <c r="AD136" s="254"/>
      <c r="AE136" s="254"/>
      <c r="AF136" s="186"/>
      <c r="AG136" s="186"/>
      <c r="AH136" s="186"/>
      <c r="AI136" s="187"/>
      <c r="AJ136" s="107"/>
      <c r="AK136" s="107"/>
      <c r="AL136" s="107"/>
      <c r="AM136" s="107"/>
      <c r="AN136" s="107"/>
      <c r="AO136" s="108"/>
    </row>
    <row r="137" spans="1:41" x14ac:dyDescent="0.25">
      <c r="B137" s="3"/>
      <c r="L137" s="35"/>
      <c r="M137" s="35"/>
      <c r="N137" s="35"/>
      <c r="O137" s="35"/>
      <c r="P137" s="35"/>
      <c r="Q137" s="35"/>
      <c r="R137" s="35"/>
      <c r="S137" s="35"/>
      <c r="T137" s="35"/>
      <c r="U137" s="35"/>
      <c r="V137" s="35"/>
      <c r="W137" s="35"/>
      <c r="X137" s="35"/>
      <c r="Y137" s="35"/>
      <c r="Z137" s="35"/>
      <c r="AA137" s="35"/>
      <c r="AB137" s="35"/>
      <c r="AC137" s="35"/>
      <c r="AD137" s="35"/>
      <c r="AE137" s="35"/>
      <c r="AF137" s="35"/>
    </row>
    <row r="138" spans="1:41" x14ac:dyDescent="0.25">
      <c r="A138" s="74" t="s">
        <v>49</v>
      </c>
      <c r="AF138" s="16"/>
    </row>
    <row r="139" spans="1:41" x14ac:dyDescent="0.25">
      <c r="A139" s="4" t="s">
        <v>0</v>
      </c>
      <c r="B139" s="193" t="s">
        <v>119</v>
      </c>
      <c r="C139" s="5" t="s">
        <v>3</v>
      </c>
      <c r="D139" s="193" t="s">
        <v>51</v>
      </c>
      <c r="E139" s="58" t="s">
        <v>2</v>
      </c>
      <c r="F139" s="9" t="s">
        <v>3</v>
      </c>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5"/>
      <c r="AO139" s="47"/>
    </row>
    <row r="140" spans="1:41" x14ac:dyDescent="0.25">
      <c r="A140" s="41" t="s">
        <v>12</v>
      </c>
      <c r="B140" s="13">
        <f>'Population by Age - Wikipedia'!D41</f>
        <v>3.6394890344941602E-2</v>
      </c>
      <c r="C140" s="12">
        <f>$B$94*B140</f>
        <v>12030895.124320794</v>
      </c>
      <c r="D140" s="22">
        <f>'AU Infection Rate by Age'!C4</f>
        <v>2.8847876724601325E-2</v>
      </c>
      <c r="E140" s="5"/>
      <c r="F140" s="16"/>
      <c r="G140" s="16"/>
      <c r="H140" s="16"/>
      <c r="I140" s="16"/>
      <c r="J140" s="16"/>
      <c r="K140" s="16"/>
      <c r="L140" s="18">
        <f t="shared" ref="L140:AN140" si="74">L$108*$D$140</f>
        <v>0.90149614764379138</v>
      </c>
      <c r="M140" s="19">
        <f t="shared" si="74"/>
        <v>1.8029922952875828</v>
      </c>
      <c r="N140" s="19">
        <f t="shared" si="74"/>
        <v>3.6059845905751655</v>
      </c>
      <c r="O140" s="19">
        <f t="shared" si="74"/>
        <v>7.211969181150331</v>
      </c>
      <c r="P140" s="19">
        <f t="shared" si="74"/>
        <v>14.423938362300662</v>
      </c>
      <c r="Q140" s="19">
        <f t="shared" si="74"/>
        <v>28.847876724601324</v>
      </c>
      <c r="R140" s="19">
        <f t="shared" si="74"/>
        <v>57.695753449202648</v>
      </c>
      <c r="S140" s="19">
        <f t="shared" si="74"/>
        <v>115.3915068984053</v>
      </c>
      <c r="T140" s="19">
        <f t="shared" si="74"/>
        <v>230.78301379681059</v>
      </c>
      <c r="U140" s="19">
        <f t="shared" si="74"/>
        <v>461.56602759362119</v>
      </c>
      <c r="V140" s="19">
        <f t="shared" si="74"/>
        <v>923.13205518724237</v>
      </c>
      <c r="W140" s="19">
        <f t="shared" si="74"/>
        <v>1846.2641103744847</v>
      </c>
      <c r="X140" s="19">
        <f t="shared" si="74"/>
        <v>3692.5282207489695</v>
      </c>
      <c r="Y140" s="19">
        <f t="shared" si="74"/>
        <v>7385.056441497939</v>
      </c>
      <c r="Z140" s="19">
        <f t="shared" si="74"/>
        <v>14770.112882995878</v>
      </c>
      <c r="AA140" s="19">
        <f t="shared" si="74"/>
        <v>22155.169324493818</v>
      </c>
      <c r="AB140" s="19">
        <f t="shared" si="74"/>
        <v>25847.697545242787</v>
      </c>
      <c r="AC140" s="19">
        <f t="shared" si="74"/>
        <v>27767.81222003225</v>
      </c>
      <c r="AD140" s="19">
        <f t="shared" si="74"/>
        <v>29540.225765991756</v>
      </c>
      <c r="AE140" s="19">
        <f t="shared" si="74"/>
        <v>59080.451531983512</v>
      </c>
      <c r="AF140" s="19">
        <f t="shared" si="74"/>
        <v>118160.90306396702</v>
      </c>
      <c r="AG140" s="19">
        <f t="shared" si="74"/>
        <v>236321.80612793405</v>
      </c>
      <c r="AH140" s="19">
        <f t="shared" si="74"/>
        <v>472643.61225586809</v>
      </c>
      <c r="AI140" s="18">
        <f t="shared" si="74"/>
        <v>945287.22451173619</v>
      </c>
      <c r="AJ140" s="19">
        <f t="shared" si="74"/>
        <v>1890574.4490234724</v>
      </c>
      <c r="AK140" s="19">
        <f t="shared" si="74"/>
        <v>3781148.8980469448</v>
      </c>
      <c r="AL140" s="19">
        <f t="shared" si="74"/>
        <v>7562297.7960938895</v>
      </c>
      <c r="AM140" s="19">
        <f t="shared" si="74"/>
        <v>9536112.7934061997</v>
      </c>
      <c r="AN140" s="60">
        <f t="shared" si="74"/>
        <v>9536112.7934061997</v>
      </c>
      <c r="AO140" s="45"/>
    </row>
    <row r="141" spans="1:41" x14ac:dyDescent="0.25">
      <c r="A141" s="41"/>
      <c r="B141" s="6"/>
      <c r="C141" s="10"/>
      <c r="D141" s="8"/>
      <c r="E141" s="27">
        <v>0.14799999999999999</v>
      </c>
      <c r="F141" s="10"/>
      <c r="G141" s="10"/>
      <c r="H141" s="10"/>
      <c r="I141" s="10"/>
      <c r="J141" s="10"/>
      <c r="K141" s="10"/>
      <c r="L141" s="29">
        <f t="shared" ref="L141:AN141" si="75">L$108*$D$140*$E$141</f>
        <v>0.13342142985128111</v>
      </c>
      <c r="M141" s="30">
        <f t="shared" si="75"/>
        <v>0.26684285970256222</v>
      </c>
      <c r="N141" s="30">
        <f t="shared" si="75"/>
        <v>0.53368571940512444</v>
      </c>
      <c r="O141" s="30">
        <f t="shared" si="75"/>
        <v>1.0673714388102489</v>
      </c>
      <c r="P141" s="30">
        <f t="shared" si="75"/>
        <v>2.1347428776204977</v>
      </c>
      <c r="Q141" s="30">
        <f t="shared" si="75"/>
        <v>4.2694857552409955</v>
      </c>
      <c r="R141" s="30">
        <f t="shared" si="75"/>
        <v>8.538971510481991</v>
      </c>
      <c r="S141" s="30">
        <f t="shared" si="75"/>
        <v>17.077943020963982</v>
      </c>
      <c r="T141" s="30">
        <f t="shared" si="75"/>
        <v>34.155886041927964</v>
      </c>
      <c r="U141" s="30">
        <f t="shared" si="75"/>
        <v>68.311772083855928</v>
      </c>
      <c r="V141" s="30">
        <f t="shared" si="75"/>
        <v>136.62354416771186</v>
      </c>
      <c r="W141" s="30">
        <f t="shared" si="75"/>
        <v>273.24708833542371</v>
      </c>
      <c r="X141" s="30">
        <f t="shared" si="75"/>
        <v>546.49417667084742</v>
      </c>
      <c r="Y141" s="30">
        <f t="shared" si="75"/>
        <v>1092.9883533416948</v>
      </c>
      <c r="Z141" s="30">
        <f t="shared" si="75"/>
        <v>2185.9767066833897</v>
      </c>
      <c r="AA141" s="30">
        <f t="shared" si="75"/>
        <v>3278.9650600250848</v>
      </c>
      <c r="AB141" s="30">
        <f t="shared" si="75"/>
        <v>3825.4592366959323</v>
      </c>
      <c r="AC141" s="30">
        <f t="shared" si="75"/>
        <v>4109.6362085647725</v>
      </c>
      <c r="AD141" s="30">
        <f t="shared" si="75"/>
        <v>4371.9534133667794</v>
      </c>
      <c r="AE141" s="30">
        <f t="shared" si="75"/>
        <v>8743.9068267335588</v>
      </c>
      <c r="AF141" s="30">
        <f t="shared" si="75"/>
        <v>17487.813653467118</v>
      </c>
      <c r="AG141" s="30">
        <f t="shared" si="75"/>
        <v>34975.627306934235</v>
      </c>
      <c r="AH141" s="30">
        <f t="shared" si="75"/>
        <v>69951.25461386847</v>
      </c>
      <c r="AI141" s="29">
        <f t="shared" si="75"/>
        <v>139902.50922773694</v>
      </c>
      <c r="AJ141" s="30">
        <f t="shared" si="75"/>
        <v>279805.01845547388</v>
      </c>
      <c r="AK141" s="30">
        <f t="shared" si="75"/>
        <v>559610.03691094776</v>
      </c>
      <c r="AL141" s="30">
        <f t="shared" si="75"/>
        <v>1119220.0738218955</v>
      </c>
      <c r="AM141" s="30">
        <f t="shared" si="75"/>
        <v>1411344.6934241175</v>
      </c>
      <c r="AN141" s="71">
        <f t="shared" si="75"/>
        <v>1411344.6934241175</v>
      </c>
      <c r="AO141" s="45"/>
    </row>
    <row r="142" spans="1:41" x14ac:dyDescent="0.25">
      <c r="A142" s="41" t="s">
        <v>13</v>
      </c>
      <c r="B142" s="6">
        <f>'Population by Age - Wikipedia'!D37</f>
        <v>5.3752877231864643E-2</v>
      </c>
      <c r="C142" s="10">
        <f t="shared" ref="C142:C156" si="76">$B$94*B142</f>
        <v>17768846.73858995</v>
      </c>
      <c r="D142" s="23">
        <f>'AU Infection Rate by Age'!C5</f>
        <v>0.10661171833004837</v>
      </c>
      <c r="E142" s="17"/>
      <c r="F142" s="16"/>
      <c r="G142" s="16"/>
      <c r="H142" s="16"/>
      <c r="I142" s="16"/>
      <c r="J142" s="16"/>
      <c r="K142" s="16"/>
      <c r="L142" s="20">
        <f t="shared" ref="L142:AN142" si="77">L$108*$D$142</f>
        <v>3.3316161978140117</v>
      </c>
      <c r="M142" s="21">
        <f t="shared" si="77"/>
        <v>6.6632323956280235</v>
      </c>
      <c r="N142" s="21">
        <f t="shared" si="77"/>
        <v>13.326464791256047</v>
      </c>
      <c r="O142" s="21">
        <f t="shared" si="77"/>
        <v>26.652929582512094</v>
      </c>
      <c r="P142" s="21">
        <f t="shared" si="77"/>
        <v>53.305859165024188</v>
      </c>
      <c r="Q142" s="21">
        <f t="shared" si="77"/>
        <v>106.61171833004838</v>
      </c>
      <c r="R142" s="21">
        <f t="shared" si="77"/>
        <v>213.22343666009675</v>
      </c>
      <c r="S142" s="21">
        <f t="shared" si="77"/>
        <v>426.4468733201935</v>
      </c>
      <c r="T142" s="21">
        <f t="shared" si="77"/>
        <v>852.89374664038701</v>
      </c>
      <c r="U142" s="21">
        <f t="shared" si="77"/>
        <v>1705.787493280774</v>
      </c>
      <c r="V142" s="21">
        <f t="shared" si="77"/>
        <v>3411.574986561548</v>
      </c>
      <c r="W142" s="21">
        <f t="shared" si="77"/>
        <v>6823.1499731230961</v>
      </c>
      <c r="X142" s="21">
        <f t="shared" si="77"/>
        <v>13646.299946246192</v>
      </c>
      <c r="Y142" s="21">
        <f t="shared" si="77"/>
        <v>27292.599892492384</v>
      </c>
      <c r="Z142" s="21">
        <f t="shared" si="77"/>
        <v>54585.199784984768</v>
      </c>
      <c r="AA142" s="21">
        <f t="shared" si="77"/>
        <v>81877.799677477145</v>
      </c>
      <c r="AB142" s="21">
        <f t="shared" si="77"/>
        <v>95524.099623723334</v>
      </c>
      <c r="AC142" s="21">
        <f t="shared" si="77"/>
        <v>102620.17559577136</v>
      </c>
      <c r="AD142" s="21">
        <f t="shared" si="77"/>
        <v>109170.39956996954</v>
      </c>
      <c r="AE142" s="21">
        <f t="shared" si="77"/>
        <v>218340.79913993907</v>
      </c>
      <c r="AF142" s="21">
        <f t="shared" si="77"/>
        <v>436681.59827987815</v>
      </c>
      <c r="AG142" s="21">
        <f t="shared" si="77"/>
        <v>873363.1965597563</v>
      </c>
      <c r="AH142" s="21">
        <f t="shared" si="77"/>
        <v>1746726.3931195126</v>
      </c>
      <c r="AI142" s="20">
        <f t="shared" si="77"/>
        <v>3493452.7862390252</v>
      </c>
      <c r="AJ142" s="21">
        <f t="shared" si="77"/>
        <v>6986905.5724780504</v>
      </c>
      <c r="AK142" s="21">
        <f t="shared" si="77"/>
        <v>13973811.144956101</v>
      </c>
      <c r="AL142" s="21">
        <f t="shared" si="77"/>
        <v>27947622.289912201</v>
      </c>
      <c r="AM142" s="21">
        <f t="shared" si="77"/>
        <v>35242155.975631602</v>
      </c>
      <c r="AN142" s="72">
        <f t="shared" si="77"/>
        <v>35242155.975631602</v>
      </c>
      <c r="AO142" s="45"/>
    </row>
    <row r="143" spans="1:41" x14ac:dyDescent="0.25">
      <c r="A143" s="41"/>
      <c r="B143" s="6"/>
      <c r="C143" s="10"/>
      <c r="D143" s="8"/>
      <c r="E143" s="27">
        <v>0.08</v>
      </c>
      <c r="F143" s="10"/>
      <c r="G143" s="10"/>
      <c r="H143" s="10"/>
      <c r="I143" s="10"/>
      <c r="J143" s="10"/>
      <c r="K143" s="10"/>
      <c r="L143" s="29">
        <f t="shared" ref="L143:AN143" si="78">L$108*$D$142*$E$143</f>
        <v>0.26652929582512097</v>
      </c>
      <c r="M143" s="30">
        <f t="shared" si="78"/>
        <v>0.53305859165024194</v>
      </c>
      <c r="N143" s="30">
        <f t="shared" si="78"/>
        <v>1.0661171833004839</v>
      </c>
      <c r="O143" s="30">
        <f t="shared" si="78"/>
        <v>2.1322343666009678</v>
      </c>
      <c r="P143" s="30">
        <f t="shared" si="78"/>
        <v>4.2644687332019355</v>
      </c>
      <c r="Q143" s="30">
        <f t="shared" si="78"/>
        <v>8.5289374664038711</v>
      </c>
      <c r="R143" s="30">
        <f t="shared" si="78"/>
        <v>17.057874932807742</v>
      </c>
      <c r="S143" s="30">
        <f t="shared" si="78"/>
        <v>34.115749865615484</v>
      </c>
      <c r="T143" s="30">
        <f t="shared" si="78"/>
        <v>68.231499731230969</v>
      </c>
      <c r="U143" s="30">
        <f t="shared" si="78"/>
        <v>136.46299946246194</v>
      </c>
      <c r="V143" s="30">
        <f t="shared" si="78"/>
        <v>272.92599892492387</v>
      </c>
      <c r="W143" s="30">
        <f t="shared" si="78"/>
        <v>545.85199784984775</v>
      </c>
      <c r="X143" s="30">
        <f t="shared" si="78"/>
        <v>1091.7039956996955</v>
      </c>
      <c r="Y143" s="30">
        <f t="shared" si="78"/>
        <v>2183.407991399391</v>
      </c>
      <c r="Z143" s="30">
        <f t="shared" si="78"/>
        <v>4366.815982798782</v>
      </c>
      <c r="AA143" s="30">
        <f t="shared" si="78"/>
        <v>6550.2239741981721</v>
      </c>
      <c r="AB143" s="30">
        <f t="shared" si="78"/>
        <v>7641.9279698978671</v>
      </c>
      <c r="AC143" s="30">
        <f t="shared" si="78"/>
        <v>8209.6140476617093</v>
      </c>
      <c r="AD143" s="30">
        <f t="shared" si="78"/>
        <v>8733.631965597564</v>
      </c>
      <c r="AE143" s="30">
        <f t="shared" si="78"/>
        <v>17467.263931195128</v>
      </c>
      <c r="AF143" s="30">
        <f t="shared" si="78"/>
        <v>34934.527862390256</v>
      </c>
      <c r="AG143" s="30">
        <f t="shared" si="78"/>
        <v>69869.055724780512</v>
      </c>
      <c r="AH143" s="30">
        <f t="shared" si="78"/>
        <v>139738.11144956102</v>
      </c>
      <c r="AI143" s="29">
        <f t="shared" si="78"/>
        <v>279476.22289912205</v>
      </c>
      <c r="AJ143" s="30">
        <f t="shared" si="78"/>
        <v>558952.44579824409</v>
      </c>
      <c r="AK143" s="30">
        <f t="shared" si="78"/>
        <v>1117904.8915964882</v>
      </c>
      <c r="AL143" s="30">
        <f t="shared" si="78"/>
        <v>2235809.7831929764</v>
      </c>
      <c r="AM143" s="30">
        <f t="shared" si="78"/>
        <v>2819372.4780505281</v>
      </c>
      <c r="AN143" s="71">
        <f t="shared" si="78"/>
        <v>2819372.4780505281</v>
      </c>
      <c r="AO143" s="45"/>
    </row>
    <row r="144" spans="1:41" x14ac:dyDescent="0.25">
      <c r="A144" s="41" t="s">
        <v>14</v>
      </c>
      <c r="B144" s="6">
        <f>'Population by Age - Wikipedia'!D33</f>
        <v>9.4748533661399834E-2</v>
      </c>
      <c r="C144" s="10">
        <f t="shared" si="76"/>
        <v>31320596.404047467</v>
      </c>
      <c r="D144" s="23">
        <f>'AU Infection Rate by Age'!C6</f>
        <v>0.16735352087439526</v>
      </c>
      <c r="E144" s="17"/>
      <c r="F144" s="10"/>
      <c r="G144" s="10"/>
      <c r="H144" s="10"/>
      <c r="I144" s="10"/>
      <c r="J144" s="10"/>
      <c r="K144" s="10"/>
      <c r="L144" s="20">
        <f t="shared" ref="L144:AN144" si="79">L$108*$D$144</f>
        <v>5.2297975273248518</v>
      </c>
      <c r="M144" s="21">
        <f t="shared" si="79"/>
        <v>10.459595054649704</v>
      </c>
      <c r="N144" s="21">
        <f t="shared" si="79"/>
        <v>20.919190109299407</v>
      </c>
      <c r="O144" s="21">
        <f t="shared" si="79"/>
        <v>41.838380218598815</v>
      </c>
      <c r="P144" s="21">
        <f t="shared" si="79"/>
        <v>83.676760437197629</v>
      </c>
      <c r="Q144" s="21">
        <f t="shared" si="79"/>
        <v>167.35352087439526</v>
      </c>
      <c r="R144" s="21">
        <f t="shared" si="79"/>
        <v>334.70704174879052</v>
      </c>
      <c r="S144" s="21">
        <f t="shared" si="79"/>
        <v>669.41408349758103</v>
      </c>
      <c r="T144" s="21">
        <f t="shared" si="79"/>
        <v>1338.8281669951621</v>
      </c>
      <c r="U144" s="21">
        <f t="shared" si="79"/>
        <v>2677.6563339903241</v>
      </c>
      <c r="V144" s="21">
        <f t="shared" si="79"/>
        <v>5355.3126679806483</v>
      </c>
      <c r="W144" s="21">
        <f t="shared" si="79"/>
        <v>10710.625335961297</v>
      </c>
      <c r="X144" s="21">
        <f t="shared" si="79"/>
        <v>21421.250671922593</v>
      </c>
      <c r="Y144" s="21">
        <f t="shared" si="79"/>
        <v>42842.501343845186</v>
      </c>
      <c r="Z144" s="21">
        <f t="shared" si="79"/>
        <v>85685.002687690372</v>
      </c>
      <c r="AA144" s="21">
        <f t="shared" si="79"/>
        <v>128527.50403153556</v>
      </c>
      <c r="AB144" s="21">
        <f t="shared" si="79"/>
        <v>149948.75470345814</v>
      </c>
      <c r="AC144" s="21">
        <f t="shared" si="79"/>
        <v>161087.8050528579</v>
      </c>
      <c r="AD144" s="21">
        <f t="shared" si="79"/>
        <v>171370.00537538074</v>
      </c>
      <c r="AE144" s="21">
        <f t="shared" si="79"/>
        <v>342740.01075076149</v>
      </c>
      <c r="AF144" s="21">
        <f t="shared" si="79"/>
        <v>685480.02150152298</v>
      </c>
      <c r="AG144" s="21">
        <f t="shared" si="79"/>
        <v>1370960.043003046</v>
      </c>
      <c r="AH144" s="21">
        <f t="shared" si="79"/>
        <v>2741920.0860060919</v>
      </c>
      <c r="AI144" s="20">
        <f t="shared" si="79"/>
        <v>5483840.1720121838</v>
      </c>
      <c r="AJ144" s="21">
        <f t="shared" si="79"/>
        <v>10967680.344024368</v>
      </c>
      <c r="AK144" s="21">
        <f t="shared" si="79"/>
        <v>21935360.688048735</v>
      </c>
      <c r="AL144" s="21">
        <f t="shared" si="79"/>
        <v>43870721.376097471</v>
      </c>
      <c r="AM144" s="21">
        <f t="shared" si="79"/>
        <v>55321300.304604903</v>
      </c>
      <c r="AN144" s="72">
        <f t="shared" si="79"/>
        <v>55321300.304604903</v>
      </c>
      <c r="AO144" s="45"/>
    </row>
    <row r="145" spans="1:41" x14ac:dyDescent="0.25">
      <c r="A145" s="41"/>
      <c r="B145" s="6"/>
      <c r="C145" s="10"/>
      <c r="D145" s="8"/>
      <c r="E145" s="27">
        <v>3.5999999999999997E-2</v>
      </c>
      <c r="F145" s="10"/>
      <c r="G145" s="10"/>
      <c r="H145" s="10"/>
      <c r="I145" s="10"/>
      <c r="J145" s="10"/>
      <c r="K145" s="10"/>
      <c r="L145" s="29">
        <f t="shared" ref="L145:AN145" si="80">L$108*$D$144*$E$145</f>
        <v>0.18827271098369466</v>
      </c>
      <c r="M145" s="30">
        <f t="shared" si="80"/>
        <v>0.37654542196738933</v>
      </c>
      <c r="N145" s="30">
        <f t="shared" si="80"/>
        <v>0.75309084393477865</v>
      </c>
      <c r="O145" s="30">
        <f t="shared" si="80"/>
        <v>1.5061816878695573</v>
      </c>
      <c r="P145" s="30">
        <f t="shared" si="80"/>
        <v>3.0123633757391146</v>
      </c>
      <c r="Q145" s="30">
        <f t="shared" si="80"/>
        <v>6.0247267514782292</v>
      </c>
      <c r="R145" s="30">
        <f t="shared" si="80"/>
        <v>12.049453502956458</v>
      </c>
      <c r="S145" s="30">
        <f t="shared" si="80"/>
        <v>24.098907005912917</v>
      </c>
      <c r="T145" s="30">
        <f t="shared" si="80"/>
        <v>48.197814011825834</v>
      </c>
      <c r="U145" s="30">
        <f t="shared" si="80"/>
        <v>96.395628023651668</v>
      </c>
      <c r="V145" s="30">
        <f t="shared" si="80"/>
        <v>192.79125604730334</v>
      </c>
      <c r="W145" s="30">
        <f t="shared" si="80"/>
        <v>385.58251209460667</v>
      </c>
      <c r="X145" s="30">
        <f t="shared" si="80"/>
        <v>771.16502418921334</v>
      </c>
      <c r="Y145" s="30">
        <f t="shared" si="80"/>
        <v>1542.3300483784267</v>
      </c>
      <c r="Z145" s="30">
        <f t="shared" si="80"/>
        <v>3084.6600967568534</v>
      </c>
      <c r="AA145" s="30">
        <f t="shared" si="80"/>
        <v>4626.9901451352798</v>
      </c>
      <c r="AB145" s="30">
        <f t="shared" si="80"/>
        <v>5398.1551693244928</v>
      </c>
      <c r="AC145" s="30">
        <f t="shared" si="80"/>
        <v>5799.1609819028845</v>
      </c>
      <c r="AD145" s="30">
        <f t="shared" si="80"/>
        <v>6169.3201935137067</v>
      </c>
      <c r="AE145" s="30">
        <f t="shared" si="80"/>
        <v>12338.640387027413</v>
      </c>
      <c r="AF145" s="30">
        <f t="shared" si="80"/>
        <v>24677.280774054827</v>
      </c>
      <c r="AG145" s="30">
        <f t="shared" si="80"/>
        <v>49354.561548109654</v>
      </c>
      <c r="AH145" s="30">
        <f t="shared" si="80"/>
        <v>98709.123096219308</v>
      </c>
      <c r="AI145" s="29">
        <f t="shared" si="80"/>
        <v>197418.24619243862</v>
      </c>
      <c r="AJ145" s="30">
        <f t="shared" si="80"/>
        <v>394836.49238487723</v>
      </c>
      <c r="AK145" s="30">
        <f t="shared" si="80"/>
        <v>789672.98476975446</v>
      </c>
      <c r="AL145" s="30">
        <f t="shared" si="80"/>
        <v>1579345.9695395089</v>
      </c>
      <c r="AM145" s="30">
        <f t="shared" si="80"/>
        <v>1991566.8109657764</v>
      </c>
      <c r="AN145" s="71">
        <f t="shared" si="80"/>
        <v>1991566.8109657764</v>
      </c>
      <c r="AO145" s="45"/>
    </row>
    <row r="146" spans="1:41" x14ac:dyDescent="0.25">
      <c r="A146" s="41" t="s">
        <v>15</v>
      </c>
      <c r="B146" s="6">
        <f>'Population by Age - Wikipedia'!D29</f>
        <v>0.13591428809571979</v>
      </c>
      <c r="C146" s="10">
        <f t="shared" si="76"/>
        <v>44928574.60150566</v>
      </c>
      <c r="D146" s="23">
        <f>'AU Infection Rate by Age'!C7</f>
        <v>0.15534850385235621</v>
      </c>
      <c r="E146" s="17"/>
      <c r="F146" s="10"/>
      <c r="G146" s="10"/>
      <c r="H146" s="10"/>
      <c r="I146" s="10"/>
      <c r="J146" s="10"/>
      <c r="K146" s="10"/>
      <c r="L146" s="20">
        <f t="shared" ref="L146:AN146" si="81">L$108*$D$146</f>
        <v>4.8546407453861313</v>
      </c>
      <c r="M146" s="21">
        <f t="shared" si="81"/>
        <v>9.7092814907722627</v>
      </c>
      <c r="N146" s="21">
        <f t="shared" si="81"/>
        <v>19.418562981544525</v>
      </c>
      <c r="O146" s="21">
        <f t="shared" si="81"/>
        <v>38.837125963089051</v>
      </c>
      <c r="P146" s="21">
        <f t="shared" si="81"/>
        <v>77.674251926178101</v>
      </c>
      <c r="Q146" s="21">
        <f t="shared" si="81"/>
        <v>155.3485038523562</v>
      </c>
      <c r="R146" s="21">
        <f t="shared" si="81"/>
        <v>310.69700770471241</v>
      </c>
      <c r="S146" s="21">
        <f t="shared" si="81"/>
        <v>621.39401540942481</v>
      </c>
      <c r="T146" s="21">
        <f t="shared" si="81"/>
        <v>1242.7880308188496</v>
      </c>
      <c r="U146" s="21">
        <f t="shared" si="81"/>
        <v>2485.5760616376992</v>
      </c>
      <c r="V146" s="21">
        <f t="shared" si="81"/>
        <v>4971.1521232753985</v>
      </c>
      <c r="W146" s="21">
        <f t="shared" si="81"/>
        <v>9942.304246550797</v>
      </c>
      <c r="X146" s="21">
        <f t="shared" si="81"/>
        <v>19884.608493101594</v>
      </c>
      <c r="Y146" s="21">
        <f t="shared" si="81"/>
        <v>39769.216986203188</v>
      </c>
      <c r="Z146" s="21">
        <f t="shared" si="81"/>
        <v>79538.433972406376</v>
      </c>
      <c r="AA146" s="21">
        <f t="shared" si="81"/>
        <v>119307.65095860958</v>
      </c>
      <c r="AB146" s="21">
        <f t="shared" si="81"/>
        <v>139192.25945171117</v>
      </c>
      <c r="AC146" s="21">
        <f t="shared" si="81"/>
        <v>149532.25586812399</v>
      </c>
      <c r="AD146" s="21">
        <f t="shared" si="81"/>
        <v>159076.86794481275</v>
      </c>
      <c r="AE146" s="21">
        <f t="shared" si="81"/>
        <v>318153.7358896255</v>
      </c>
      <c r="AF146" s="21">
        <f t="shared" si="81"/>
        <v>636307.47177925101</v>
      </c>
      <c r="AG146" s="21">
        <f t="shared" si="81"/>
        <v>1272614.943558502</v>
      </c>
      <c r="AH146" s="21">
        <f t="shared" si="81"/>
        <v>2545229.887117004</v>
      </c>
      <c r="AI146" s="20">
        <f t="shared" si="81"/>
        <v>5090459.774234008</v>
      </c>
      <c r="AJ146" s="21">
        <f t="shared" si="81"/>
        <v>10180919.548468016</v>
      </c>
      <c r="AK146" s="21">
        <f t="shared" si="81"/>
        <v>20361839.096936032</v>
      </c>
      <c r="AL146" s="21">
        <f t="shared" si="81"/>
        <v>40723678.193872064</v>
      </c>
      <c r="AM146" s="21">
        <f t="shared" si="81"/>
        <v>51352855.850206055</v>
      </c>
      <c r="AN146" s="72">
        <f t="shared" si="81"/>
        <v>51352855.850206055</v>
      </c>
      <c r="AO146" s="45"/>
    </row>
    <row r="147" spans="1:41" x14ac:dyDescent="0.25">
      <c r="A147" s="41"/>
      <c r="B147" s="6"/>
      <c r="C147" s="10"/>
      <c r="D147" s="8"/>
      <c r="E147" s="27">
        <v>1.2999999999999999E-2</v>
      </c>
      <c r="F147" s="10"/>
      <c r="G147" s="10"/>
      <c r="H147" s="10"/>
      <c r="I147" s="10"/>
      <c r="J147" s="10"/>
      <c r="K147" s="10"/>
      <c r="L147" s="29">
        <f t="shared" ref="L147:AN147" si="82">L$108*$D$146*$E$147</f>
        <v>6.3110329690019701E-2</v>
      </c>
      <c r="M147" s="30">
        <f t="shared" si="82"/>
        <v>0.1262206593800394</v>
      </c>
      <c r="N147" s="30">
        <f t="shared" si="82"/>
        <v>0.2524413187600788</v>
      </c>
      <c r="O147" s="30">
        <f t="shared" si="82"/>
        <v>0.50488263752015761</v>
      </c>
      <c r="P147" s="30">
        <f t="shared" si="82"/>
        <v>1.0097652750403152</v>
      </c>
      <c r="Q147" s="30">
        <f t="shared" si="82"/>
        <v>2.0195305500806304</v>
      </c>
      <c r="R147" s="30">
        <f t="shared" si="82"/>
        <v>4.0390611001612609</v>
      </c>
      <c r="S147" s="30">
        <f t="shared" si="82"/>
        <v>8.0781222003225217</v>
      </c>
      <c r="T147" s="30">
        <f t="shared" si="82"/>
        <v>16.156244400645043</v>
      </c>
      <c r="U147" s="30">
        <f t="shared" si="82"/>
        <v>32.312488801290087</v>
      </c>
      <c r="V147" s="30">
        <f t="shared" si="82"/>
        <v>64.624977602580174</v>
      </c>
      <c r="W147" s="30">
        <f t="shared" si="82"/>
        <v>129.24995520516035</v>
      </c>
      <c r="X147" s="30">
        <f t="shared" si="82"/>
        <v>258.49991041032069</v>
      </c>
      <c r="Y147" s="30">
        <f t="shared" si="82"/>
        <v>516.99982082064139</v>
      </c>
      <c r="Z147" s="30">
        <f t="shared" si="82"/>
        <v>1033.9996416412828</v>
      </c>
      <c r="AA147" s="30">
        <f t="shared" si="82"/>
        <v>1550.9994624619244</v>
      </c>
      <c r="AB147" s="30">
        <f t="shared" si="82"/>
        <v>1809.4993728722452</v>
      </c>
      <c r="AC147" s="30">
        <f t="shared" si="82"/>
        <v>1943.9193262856118</v>
      </c>
      <c r="AD147" s="30">
        <f t="shared" si="82"/>
        <v>2067.9992832825656</v>
      </c>
      <c r="AE147" s="30">
        <f t="shared" si="82"/>
        <v>4135.9985665651311</v>
      </c>
      <c r="AF147" s="30">
        <f t="shared" si="82"/>
        <v>8271.9971331302622</v>
      </c>
      <c r="AG147" s="30">
        <f t="shared" si="82"/>
        <v>16543.994266260524</v>
      </c>
      <c r="AH147" s="30">
        <f t="shared" si="82"/>
        <v>33087.988532521049</v>
      </c>
      <c r="AI147" s="29">
        <f t="shared" si="82"/>
        <v>66175.977065042098</v>
      </c>
      <c r="AJ147" s="30">
        <f t="shared" si="82"/>
        <v>132351.9541300842</v>
      </c>
      <c r="AK147" s="30">
        <f t="shared" si="82"/>
        <v>264703.90826016839</v>
      </c>
      <c r="AL147" s="30">
        <f t="shared" si="82"/>
        <v>529407.81652033678</v>
      </c>
      <c r="AM147" s="30">
        <f t="shared" si="82"/>
        <v>667587.12605267868</v>
      </c>
      <c r="AN147" s="71">
        <f t="shared" si="82"/>
        <v>667587.12605267868</v>
      </c>
      <c r="AO147" s="45"/>
    </row>
    <row r="148" spans="1:41" x14ac:dyDescent="0.25">
      <c r="A148" s="41" t="s">
        <v>16</v>
      </c>
      <c r="B148" s="6">
        <f>'Population by Age - Wikipedia'!D25</f>
        <v>0.14121517441978385</v>
      </c>
      <c r="C148" s="10">
        <f t="shared" si="76"/>
        <v>46680864.739663057</v>
      </c>
      <c r="D148" s="23">
        <f>'AU Infection Rate by Age'!C8</f>
        <v>0.12972585558143701</v>
      </c>
      <c r="E148" s="17"/>
      <c r="F148" s="10"/>
      <c r="G148" s="10"/>
      <c r="H148" s="10"/>
      <c r="I148" s="10"/>
      <c r="J148" s="10"/>
      <c r="K148" s="10"/>
      <c r="L148" s="20">
        <f t="shared" ref="L148:AN148" si="83">L$108*$D$148</f>
        <v>4.0539329869199063</v>
      </c>
      <c r="M148" s="21">
        <f t="shared" si="83"/>
        <v>8.1078659738398127</v>
      </c>
      <c r="N148" s="21">
        <f t="shared" si="83"/>
        <v>16.215731947679625</v>
      </c>
      <c r="O148" s="21">
        <f t="shared" si="83"/>
        <v>32.431463895359251</v>
      </c>
      <c r="P148" s="21">
        <f t="shared" si="83"/>
        <v>64.862927790718501</v>
      </c>
      <c r="Q148" s="21">
        <f t="shared" si="83"/>
        <v>129.725855581437</v>
      </c>
      <c r="R148" s="21">
        <f t="shared" si="83"/>
        <v>259.45171116287401</v>
      </c>
      <c r="S148" s="21">
        <f t="shared" si="83"/>
        <v>518.90342232574801</v>
      </c>
      <c r="T148" s="21">
        <f t="shared" si="83"/>
        <v>1037.806844651496</v>
      </c>
      <c r="U148" s="21">
        <f t="shared" si="83"/>
        <v>2075.613689302992</v>
      </c>
      <c r="V148" s="21">
        <f t="shared" si="83"/>
        <v>4151.2273786059841</v>
      </c>
      <c r="W148" s="21">
        <f t="shared" si="83"/>
        <v>8302.4547572119682</v>
      </c>
      <c r="X148" s="21">
        <f t="shared" si="83"/>
        <v>16604.909514423936</v>
      </c>
      <c r="Y148" s="21">
        <f t="shared" si="83"/>
        <v>33209.819028847873</v>
      </c>
      <c r="Z148" s="21">
        <f t="shared" si="83"/>
        <v>66419.638057695745</v>
      </c>
      <c r="AA148" s="21">
        <f t="shared" si="83"/>
        <v>99629.457086543625</v>
      </c>
      <c r="AB148" s="21">
        <f t="shared" si="83"/>
        <v>116234.36660096757</v>
      </c>
      <c r="AC148" s="21">
        <f t="shared" si="83"/>
        <v>124868.91954846801</v>
      </c>
      <c r="AD148" s="21">
        <f t="shared" si="83"/>
        <v>132839.27611539149</v>
      </c>
      <c r="AE148" s="21">
        <f t="shared" si="83"/>
        <v>265678.55223078298</v>
      </c>
      <c r="AF148" s="21">
        <f t="shared" si="83"/>
        <v>531357.10446156596</v>
      </c>
      <c r="AG148" s="21">
        <f t="shared" si="83"/>
        <v>1062714.2089231319</v>
      </c>
      <c r="AH148" s="21">
        <f t="shared" si="83"/>
        <v>2125428.4178462639</v>
      </c>
      <c r="AI148" s="20">
        <f t="shared" si="83"/>
        <v>4250856.8356925277</v>
      </c>
      <c r="AJ148" s="21">
        <f t="shared" si="83"/>
        <v>8501713.6713850554</v>
      </c>
      <c r="AK148" s="21">
        <f t="shared" si="83"/>
        <v>17003427.342770111</v>
      </c>
      <c r="AL148" s="21">
        <f t="shared" si="83"/>
        <v>34006854.685540222</v>
      </c>
      <c r="AM148" s="21">
        <f t="shared" si="83"/>
        <v>42882892.313205518</v>
      </c>
      <c r="AN148" s="72">
        <f t="shared" si="83"/>
        <v>42882892.313205518</v>
      </c>
      <c r="AO148" s="45"/>
    </row>
    <row r="149" spans="1:41" x14ac:dyDescent="0.25">
      <c r="A149" s="41"/>
      <c r="B149" s="6"/>
      <c r="C149" s="10"/>
      <c r="D149" s="8"/>
      <c r="E149" s="27">
        <v>4.0000000000000001E-3</v>
      </c>
      <c r="F149" s="10"/>
      <c r="G149" s="10"/>
      <c r="H149" s="10"/>
      <c r="I149" s="10"/>
      <c r="J149" s="10"/>
      <c r="K149" s="10"/>
      <c r="L149" s="29">
        <f t="shared" ref="L149:AN149" si="84">L$108*$D$148*$E$149</f>
        <v>1.6215731947679626E-2</v>
      </c>
      <c r="M149" s="30">
        <f t="shared" si="84"/>
        <v>3.2431463895359253E-2</v>
      </c>
      <c r="N149" s="30">
        <f t="shared" si="84"/>
        <v>6.4862927790718505E-2</v>
      </c>
      <c r="O149" s="30">
        <f t="shared" si="84"/>
        <v>0.12972585558143701</v>
      </c>
      <c r="P149" s="30">
        <f t="shared" si="84"/>
        <v>0.25945171116287402</v>
      </c>
      <c r="Q149" s="30">
        <f t="shared" si="84"/>
        <v>0.51890342232574804</v>
      </c>
      <c r="R149" s="30">
        <f t="shared" si="84"/>
        <v>1.0378068446514961</v>
      </c>
      <c r="S149" s="30">
        <f t="shared" si="84"/>
        <v>2.0756136893029922</v>
      </c>
      <c r="T149" s="30">
        <f t="shared" si="84"/>
        <v>4.1512273786059843</v>
      </c>
      <c r="U149" s="30">
        <f t="shared" si="84"/>
        <v>8.3024547572119687</v>
      </c>
      <c r="V149" s="30">
        <f t="shared" si="84"/>
        <v>16.604909514423937</v>
      </c>
      <c r="W149" s="30">
        <f t="shared" si="84"/>
        <v>33.209819028847875</v>
      </c>
      <c r="X149" s="30">
        <f t="shared" si="84"/>
        <v>66.419638057695749</v>
      </c>
      <c r="Y149" s="30">
        <f t="shared" si="84"/>
        <v>132.8392761153915</v>
      </c>
      <c r="Z149" s="30">
        <f t="shared" si="84"/>
        <v>265.678552230783</v>
      </c>
      <c r="AA149" s="30">
        <f t="shared" si="84"/>
        <v>398.5178283461745</v>
      </c>
      <c r="AB149" s="30">
        <f t="shared" si="84"/>
        <v>464.93746640387025</v>
      </c>
      <c r="AC149" s="30">
        <f t="shared" si="84"/>
        <v>499.47567819387206</v>
      </c>
      <c r="AD149" s="30">
        <f t="shared" si="84"/>
        <v>531.357104461566</v>
      </c>
      <c r="AE149" s="30">
        <f t="shared" si="84"/>
        <v>1062.714208923132</v>
      </c>
      <c r="AF149" s="30">
        <f t="shared" si="84"/>
        <v>2125.428417846264</v>
      </c>
      <c r="AG149" s="30">
        <f t="shared" si="84"/>
        <v>4250.856835692528</v>
      </c>
      <c r="AH149" s="30">
        <f t="shared" si="84"/>
        <v>8501.7136713850559</v>
      </c>
      <c r="AI149" s="29">
        <f t="shared" si="84"/>
        <v>17003.427342770112</v>
      </c>
      <c r="AJ149" s="30">
        <f t="shared" si="84"/>
        <v>34006.854685540224</v>
      </c>
      <c r="AK149" s="30">
        <f t="shared" si="84"/>
        <v>68013.709371080447</v>
      </c>
      <c r="AL149" s="30">
        <f t="shared" si="84"/>
        <v>136027.41874216089</v>
      </c>
      <c r="AM149" s="30">
        <f t="shared" si="84"/>
        <v>171531.56925282208</v>
      </c>
      <c r="AN149" s="71">
        <f t="shared" si="84"/>
        <v>171531.56925282208</v>
      </c>
      <c r="AO149" s="45"/>
    </row>
    <row r="150" spans="1:41" x14ac:dyDescent="0.25">
      <c r="A150" s="41" t="s">
        <v>17</v>
      </c>
      <c r="B150" s="6">
        <f>'Population by Age - Wikipedia'!D21</f>
        <v>0.13001561499489589</v>
      </c>
      <c r="C150" s="10">
        <f t="shared" si="76"/>
        <v>42978676.778595254</v>
      </c>
      <c r="D150" s="23">
        <f>'AU Infection Rate by Age'!C9</f>
        <v>0.15731947679627306</v>
      </c>
      <c r="E150" s="17"/>
      <c r="F150" s="10"/>
      <c r="G150" s="14"/>
      <c r="H150" s="14"/>
      <c r="I150" s="14"/>
      <c r="J150" s="10"/>
      <c r="K150" s="10"/>
      <c r="L150" s="20">
        <f t="shared" ref="L150:AN150" si="85">L$108*$D$150</f>
        <v>4.9162336498835328</v>
      </c>
      <c r="M150" s="21">
        <f t="shared" si="85"/>
        <v>9.8324672997670657</v>
      </c>
      <c r="N150" s="21">
        <f t="shared" si="85"/>
        <v>19.664934599534131</v>
      </c>
      <c r="O150" s="21">
        <f t="shared" si="85"/>
        <v>39.329869199068263</v>
      </c>
      <c r="P150" s="21">
        <f t="shared" si="85"/>
        <v>78.659738398136525</v>
      </c>
      <c r="Q150" s="21">
        <f t="shared" si="85"/>
        <v>157.31947679627305</v>
      </c>
      <c r="R150" s="21">
        <f t="shared" si="85"/>
        <v>314.6389535925461</v>
      </c>
      <c r="S150" s="21">
        <f t="shared" si="85"/>
        <v>629.2779071850922</v>
      </c>
      <c r="T150" s="21">
        <f t="shared" si="85"/>
        <v>1258.5558143701844</v>
      </c>
      <c r="U150" s="21">
        <f t="shared" si="85"/>
        <v>2517.1116287403688</v>
      </c>
      <c r="V150" s="21">
        <f t="shared" si="85"/>
        <v>5034.2232574807376</v>
      </c>
      <c r="W150" s="21">
        <f t="shared" si="85"/>
        <v>10068.446514961475</v>
      </c>
      <c r="X150" s="21">
        <f t="shared" si="85"/>
        <v>20136.893029922951</v>
      </c>
      <c r="Y150" s="21">
        <f t="shared" si="85"/>
        <v>40273.786059845901</v>
      </c>
      <c r="Z150" s="21">
        <f t="shared" si="85"/>
        <v>80547.572119691802</v>
      </c>
      <c r="AA150" s="21">
        <f t="shared" si="85"/>
        <v>120821.35817953771</v>
      </c>
      <c r="AB150" s="21">
        <f t="shared" si="85"/>
        <v>140958.25120946066</v>
      </c>
      <c r="AC150" s="21">
        <f t="shared" si="85"/>
        <v>151429.4355850206</v>
      </c>
      <c r="AD150" s="21">
        <f t="shared" si="85"/>
        <v>161095.1442393836</v>
      </c>
      <c r="AE150" s="21">
        <f t="shared" si="85"/>
        <v>322190.28847876721</v>
      </c>
      <c r="AF150" s="21">
        <f t="shared" si="85"/>
        <v>644380.57695753442</v>
      </c>
      <c r="AG150" s="21">
        <f t="shared" si="85"/>
        <v>1288761.1539150688</v>
      </c>
      <c r="AH150" s="21">
        <f t="shared" si="85"/>
        <v>2577522.3078301377</v>
      </c>
      <c r="AI150" s="20">
        <f t="shared" si="85"/>
        <v>5155044.6156602753</v>
      </c>
      <c r="AJ150" s="21">
        <f t="shared" si="85"/>
        <v>10310089.231320551</v>
      </c>
      <c r="AK150" s="21">
        <f t="shared" si="85"/>
        <v>20620178.462641101</v>
      </c>
      <c r="AL150" s="21">
        <f t="shared" si="85"/>
        <v>41240356.925282203</v>
      </c>
      <c r="AM150" s="21">
        <f t="shared" si="85"/>
        <v>52004391.506898403</v>
      </c>
      <c r="AN150" s="72">
        <f t="shared" si="85"/>
        <v>52004391.506898403</v>
      </c>
      <c r="AO150" s="45"/>
    </row>
    <row r="151" spans="1:41" x14ac:dyDescent="0.25">
      <c r="A151" s="41"/>
      <c r="B151" s="6"/>
      <c r="C151" s="10"/>
      <c r="D151" s="8"/>
      <c r="E151" s="27">
        <v>2E-3</v>
      </c>
      <c r="F151" s="10"/>
      <c r="G151" s="10"/>
      <c r="H151" s="10"/>
      <c r="I151" s="10"/>
      <c r="J151" s="10"/>
      <c r="K151" s="10"/>
      <c r="L151" s="29">
        <f t="shared" ref="L151:AN151" si="86">L$108*$D$150*$E$151</f>
        <v>9.8324672997670663E-3</v>
      </c>
      <c r="M151" s="30">
        <f t="shared" si="86"/>
        <v>1.9664934599534133E-2</v>
      </c>
      <c r="N151" s="30">
        <f t="shared" si="86"/>
        <v>3.9329869199068265E-2</v>
      </c>
      <c r="O151" s="30">
        <f t="shared" si="86"/>
        <v>7.8659738398136531E-2</v>
      </c>
      <c r="P151" s="30">
        <f t="shared" si="86"/>
        <v>0.15731947679627306</v>
      </c>
      <c r="Q151" s="30">
        <f t="shared" si="86"/>
        <v>0.31463895359254612</v>
      </c>
      <c r="R151" s="30">
        <f t="shared" si="86"/>
        <v>0.62927790718509224</v>
      </c>
      <c r="S151" s="30">
        <f t="shared" si="86"/>
        <v>1.2585558143701845</v>
      </c>
      <c r="T151" s="30">
        <f t="shared" si="86"/>
        <v>2.517111628740369</v>
      </c>
      <c r="U151" s="30">
        <f t="shared" si="86"/>
        <v>5.034223257480738</v>
      </c>
      <c r="V151" s="30">
        <f t="shared" si="86"/>
        <v>10.068446514961476</v>
      </c>
      <c r="W151" s="30">
        <f t="shared" si="86"/>
        <v>20.136893029922952</v>
      </c>
      <c r="X151" s="30">
        <f t="shared" si="86"/>
        <v>40.273786059845904</v>
      </c>
      <c r="Y151" s="30">
        <f t="shared" si="86"/>
        <v>80.547572119691807</v>
      </c>
      <c r="Z151" s="30">
        <f t="shared" si="86"/>
        <v>161.09514423938361</v>
      </c>
      <c r="AA151" s="30">
        <f t="shared" si="86"/>
        <v>241.64271635907542</v>
      </c>
      <c r="AB151" s="30">
        <f t="shared" si="86"/>
        <v>281.91650241892131</v>
      </c>
      <c r="AC151" s="30">
        <f t="shared" si="86"/>
        <v>302.8588711700412</v>
      </c>
      <c r="AD151" s="30">
        <f t="shared" si="86"/>
        <v>322.19028847876723</v>
      </c>
      <c r="AE151" s="30">
        <f t="shared" si="86"/>
        <v>644.38057695753446</v>
      </c>
      <c r="AF151" s="30">
        <f t="shared" si="86"/>
        <v>1288.7611539150689</v>
      </c>
      <c r="AG151" s="30">
        <f t="shared" si="86"/>
        <v>2577.5223078301378</v>
      </c>
      <c r="AH151" s="30">
        <f t="shared" si="86"/>
        <v>5155.0446156602757</v>
      </c>
      <c r="AI151" s="29">
        <f t="shared" si="86"/>
        <v>10310.089231320551</v>
      </c>
      <c r="AJ151" s="30">
        <f t="shared" si="86"/>
        <v>20620.178462641103</v>
      </c>
      <c r="AK151" s="30">
        <f t="shared" si="86"/>
        <v>41240.356925282205</v>
      </c>
      <c r="AL151" s="30">
        <f t="shared" si="86"/>
        <v>82480.713850564411</v>
      </c>
      <c r="AM151" s="30">
        <f t="shared" si="86"/>
        <v>104008.78301379681</v>
      </c>
      <c r="AN151" s="71">
        <f t="shared" si="86"/>
        <v>104008.78301379681</v>
      </c>
      <c r="AO151" s="45"/>
    </row>
    <row r="152" spans="1:41" x14ac:dyDescent="0.25">
      <c r="A152" s="41" t="s">
        <v>18</v>
      </c>
      <c r="B152" s="6">
        <f>'Population by Age - Wikipedia'!D17</f>
        <v>0.13826223457843137</v>
      </c>
      <c r="C152" s="10">
        <f t="shared" si="76"/>
        <v>45704724.704536453</v>
      </c>
      <c r="D152" s="23">
        <f>'AU Infection Rate by Age'!C10</f>
        <v>0.2160903063967031</v>
      </c>
      <c r="E152" s="17"/>
      <c r="F152" s="10"/>
      <c r="G152" s="10"/>
      <c r="H152" s="10"/>
      <c r="I152" s="10"/>
      <c r="J152" s="10"/>
      <c r="K152" s="10"/>
      <c r="L152" s="20">
        <f t="shared" ref="L152:AN152" si="87">L$108*$D$152</f>
        <v>6.7528220748969714</v>
      </c>
      <c r="M152" s="21">
        <f t="shared" si="87"/>
        <v>13.505644149793943</v>
      </c>
      <c r="N152" s="21">
        <f t="shared" si="87"/>
        <v>27.011288299587886</v>
      </c>
      <c r="O152" s="21">
        <f t="shared" si="87"/>
        <v>54.022576599175771</v>
      </c>
      <c r="P152" s="21">
        <f t="shared" si="87"/>
        <v>108.04515319835154</v>
      </c>
      <c r="Q152" s="21">
        <f t="shared" si="87"/>
        <v>216.09030639670308</v>
      </c>
      <c r="R152" s="21">
        <f t="shared" si="87"/>
        <v>432.18061279340617</v>
      </c>
      <c r="S152" s="21">
        <f t="shared" si="87"/>
        <v>864.36122558681234</v>
      </c>
      <c r="T152" s="21">
        <f t="shared" si="87"/>
        <v>1728.7224511736247</v>
      </c>
      <c r="U152" s="21">
        <f t="shared" si="87"/>
        <v>3457.4449023472494</v>
      </c>
      <c r="V152" s="21">
        <f t="shared" si="87"/>
        <v>6914.8898046944987</v>
      </c>
      <c r="W152" s="21">
        <f t="shared" si="87"/>
        <v>13829.779609388997</v>
      </c>
      <c r="X152" s="21">
        <f t="shared" si="87"/>
        <v>27659.559218777995</v>
      </c>
      <c r="Y152" s="21">
        <f t="shared" si="87"/>
        <v>55319.11843755599</v>
      </c>
      <c r="Z152" s="21">
        <f t="shared" si="87"/>
        <v>110638.23687511198</v>
      </c>
      <c r="AA152" s="21">
        <f t="shared" si="87"/>
        <v>165957.35531266799</v>
      </c>
      <c r="AB152" s="21">
        <f t="shared" si="87"/>
        <v>193616.91453144597</v>
      </c>
      <c r="AC152" s="21">
        <f t="shared" si="87"/>
        <v>207999.88532521055</v>
      </c>
      <c r="AD152" s="21">
        <f t="shared" si="87"/>
        <v>221276.47375022396</v>
      </c>
      <c r="AE152" s="21">
        <f t="shared" si="87"/>
        <v>442552.94750044792</v>
      </c>
      <c r="AF152" s="21">
        <f t="shared" si="87"/>
        <v>885105.89500089583</v>
      </c>
      <c r="AG152" s="21">
        <f t="shared" si="87"/>
        <v>1770211.7900017917</v>
      </c>
      <c r="AH152" s="21">
        <f t="shared" si="87"/>
        <v>3540423.5800035833</v>
      </c>
      <c r="AI152" s="20">
        <f t="shared" si="87"/>
        <v>7080847.1600071667</v>
      </c>
      <c r="AJ152" s="21">
        <f t="shared" si="87"/>
        <v>14161694.320014333</v>
      </c>
      <c r="AK152" s="21">
        <f t="shared" si="87"/>
        <v>28323388.640028667</v>
      </c>
      <c r="AL152" s="21">
        <f t="shared" si="87"/>
        <v>56646777.280057333</v>
      </c>
      <c r="AM152" s="21">
        <f t="shared" si="87"/>
        <v>71432000.179179356</v>
      </c>
      <c r="AN152" s="72">
        <f t="shared" si="87"/>
        <v>71432000.179179356</v>
      </c>
      <c r="AO152" s="45"/>
    </row>
    <row r="153" spans="1:41" x14ac:dyDescent="0.25">
      <c r="A153" s="41"/>
      <c r="B153" s="6"/>
      <c r="C153" s="10"/>
      <c r="D153" s="8"/>
      <c r="E153" s="27">
        <v>2E-3</v>
      </c>
      <c r="F153" s="10"/>
      <c r="G153" s="10"/>
      <c r="H153" s="10"/>
      <c r="I153" s="10"/>
      <c r="J153" s="10"/>
      <c r="K153" s="10"/>
      <c r="L153" s="29">
        <f t="shared" ref="L153:AN153" si="88">L$108*$D$152*$E$153</f>
        <v>1.3505644149793944E-2</v>
      </c>
      <c r="M153" s="30">
        <f t="shared" si="88"/>
        <v>2.7011288299587887E-2</v>
      </c>
      <c r="N153" s="30">
        <f t="shared" si="88"/>
        <v>5.4022576599175774E-2</v>
      </c>
      <c r="O153" s="30">
        <f t="shared" si="88"/>
        <v>0.10804515319835155</v>
      </c>
      <c r="P153" s="30">
        <f t="shared" si="88"/>
        <v>0.2160903063967031</v>
      </c>
      <c r="Q153" s="30">
        <f t="shared" si="88"/>
        <v>0.43218061279340619</v>
      </c>
      <c r="R153" s="30">
        <f t="shared" si="88"/>
        <v>0.86436122558681239</v>
      </c>
      <c r="S153" s="30">
        <f t="shared" si="88"/>
        <v>1.7287224511736248</v>
      </c>
      <c r="T153" s="30">
        <f t="shared" si="88"/>
        <v>3.4574449023472495</v>
      </c>
      <c r="U153" s="30">
        <f t="shared" si="88"/>
        <v>6.9148898046944991</v>
      </c>
      <c r="V153" s="30">
        <f t="shared" si="88"/>
        <v>13.829779609388998</v>
      </c>
      <c r="W153" s="30">
        <f t="shared" si="88"/>
        <v>27.659559218777996</v>
      </c>
      <c r="X153" s="30">
        <f t="shared" si="88"/>
        <v>55.319118437555993</v>
      </c>
      <c r="Y153" s="30">
        <f t="shared" si="88"/>
        <v>110.63823687511199</v>
      </c>
      <c r="Z153" s="30">
        <f t="shared" si="88"/>
        <v>221.27647375022397</v>
      </c>
      <c r="AA153" s="30">
        <f t="shared" si="88"/>
        <v>331.914710625336</v>
      </c>
      <c r="AB153" s="30">
        <f t="shared" si="88"/>
        <v>387.23382906289197</v>
      </c>
      <c r="AC153" s="30">
        <f t="shared" si="88"/>
        <v>415.99977065042111</v>
      </c>
      <c r="AD153" s="30">
        <f t="shared" si="88"/>
        <v>442.55294750044794</v>
      </c>
      <c r="AE153" s="30">
        <f t="shared" si="88"/>
        <v>885.10589500089588</v>
      </c>
      <c r="AF153" s="30">
        <f t="shared" si="88"/>
        <v>1770.2117900017918</v>
      </c>
      <c r="AG153" s="30">
        <f t="shared" si="88"/>
        <v>3540.4235800035835</v>
      </c>
      <c r="AH153" s="30">
        <f t="shared" si="88"/>
        <v>7080.8471600071671</v>
      </c>
      <c r="AI153" s="29">
        <f t="shared" si="88"/>
        <v>14161.694320014334</v>
      </c>
      <c r="AJ153" s="30">
        <f t="shared" si="88"/>
        <v>28323.388640028668</v>
      </c>
      <c r="AK153" s="30">
        <f t="shared" si="88"/>
        <v>56646.777280057337</v>
      </c>
      <c r="AL153" s="30">
        <f t="shared" si="88"/>
        <v>113293.55456011467</v>
      </c>
      <c r="AM153" s="30">
        <f t="shared" si="88"/>
        <v>142864.00035835872</v>
      </c>
      <c r="AN153" s="71">
        <f t="shared" si="88"/>
        <v>142864.00035835872</v>
      </c>
      <c r="AO153" s="45"/>
    </row>
    <row r="154" spans="1:41" x14ac:dyDescent="0.25">
      <c r="A154" s="42" t="s">
        <v>19</v>
      </c>
      <c r="B154" s="6">
        <f>'Population by Age - Wikipedia'!D13</f>
        <v>0.13835839467257338</v>
      </c>
      <c r="C154" s="10">
        <f t="shared" si="76"/>
        <v>45736511.914136559</v>
      </c>
      <c r="D154" s="23">
        <f>'AU Infection Rate by Age'!C11</f>
        <v>2.8847876724601325E-2</v>
      </c>
      <c r="E154" s="17"/>
      <c r="F154" s="10"/>
      <c r="G154" s="10"/>
      <c r="H154" s="10"/>
      <c r="I154" s="10"/>
      <c r="J154" s="10"/>
      <c r="K154" s="10"/>
      <c r="L154" s="20">
        <f t="shared" ref="L154:AN154" si="89">L$108*$D$154</f>
        <v>0.90149614764379138</v>
      </c>
      <c r="M154" s="21">
        <f t="shared" si="89"/>
        <v>1.8029922952875828</v>
      </c>
      <c r="N154" s="21">
        <f t="shared" si="89"/>
        <v>3.6059845905751655</v>
      </c>
      <c r="O154" s="21">
        <f t="shared" si="89"/>
        <v>7.211969181150331</v>
      </c>
      <c r="P154" s="21">
        <f t="shared" si="89"/>
        <v>14.423938362300662</v>
      </c>
      <c r="Q154" s="21">
        <f t="shared" si="89"/>
        <v>28.847876724601324</v>
      </c>
      <c r="R154" s="21">
        <f t="shared" si="89"/>
        <v>57.695753449202648</v>
      </c>
      <c r="S154" s="21">
        <f t="shared" si="89"/>
        <v>115.3915068984053</v>
      </c>
      <c r="T154" s="21">
        <f t="shared" si="89"/>
        <v>230.78301379681059</v>
      </c>
      <c r="U154" s="21">
        <f t="shared" si="89"/>
        <v>461.56602759362119</v>
      </c>
      <c r="V154" s="21">
        <f t="shared" si="89"/>
        <v>923.13205518724237</v>
      </c>
      <c r="W154" s="21">
        <f t="shared" si="89"/>
        <v>1846.2641103744847</v>
      </c>
      <c r="X154" s="21">
        <f t="shared" si="89"/>
        <v>3692.5282207489695</v>
      </c>
      <c r="Y154" s="21">
        <f t="shared" si="89"/>
        <v>7385.056441497939</v>
      </c>
      <c r="Z154" s="21">
        <f t="shared" si="89"/>
        <v>14770.112882995878</v>
      </c>
      <c r="AA154" s="21">
        <f t="shared" si="89"/>
        <v>22155.169324493818</v>
      </c>
      <c r="AB154" s="21">
        <f t="shared" si="89"/>
        <v>25847.697545242787</v>
      </c>
      <c r="AC154" s="21">
        <f t="shared" si="89"/>
        <v>27767.81222003225</v>
      </c>
      <c r="AD154" s="21">
        <f t="shared" si="89"/>
        <v>29540.225765991756</v>
      </c>
      <c r="AE154" s="21">
        <f t="shared" si="89"/>
        <v>59080.451531983512</v>
      </c>
      <c r="AF154" s="21">
        <f t="shared" si="89"/>
        <v>118160.90306396702</v>
      </c>
      <c r="AG154" s="21">
        <f t="shared" si="89"/>
        <v>236321.80612793405</v>
      </c>
      <c r="AH154" s="21">
        <f t="shared" si="89"/>
        <v>472643.61225586809</v>
      </c>
      <c r="AI154" s="20">
        <f t="shared" si="89"/>
        <v>945287.22451173619</v>
      </c>
      <c r="AJ154" s="21">
        <f t="shared" si="89"/>
        <v>1890574.4490234724</v>
      </c>
      <c r="AK154" s="21">
        <f t="shared" si="89"/>
        <v>3781148.8980469448</v>
      </c>
      <c r="AL154" s="21">
        <f t="shared" si="89"/>
        <v>7562297.7960938895</v>
      </c>
      <c r="AM154" s="21">
        <f t="shared" si="89"/>
        <v>9536112.7934061997</v>
      </c>
      <c r="AN154" s="72">
        <f t="shared" si="89"/>
        <v>9536112.7934061997</v>
      </c>
      <c r="AO154" s="45"/>
    </row>
    <row r="155" spans="1:41" x14ac:dyDescent="0.25">
      <c r="A155" s="42"/>
      <c r="B155" s="6"/>
      <c r="C155" s="10"/>
      <c r="D155" s="8"/>
      <c r="E155" s="27">
        <v>2E-3</v>
      </c>
      <c r="F155" s="10"/>
      <c r="G155" s="10"/>
      <c r="H155" s="10"/>
      <c r="I155" s="10"/>
      <c r="J155" s="10"/>
      <c r="K155" s="10"/>
      <c r="L155" s="29">
        <f t="shared" ref="L155:AN155" si="90">L$108*$D$154*$E$155</f>
        <v>1.8029922952875828E-3</v>
      </c>
      <c r="M155" s="30">
        <f t="shared" si="90"/>
        <v>3.6059845905751656E-3</v>
      </c>
      <c r="N155" s="30">
        <f t="shared" si="90"/>
        <v>7.2119691811503312E-3</v>
      </c>
      <c r="O155" s="30">
        <f t="shared" si="90"/>
        <v>1.4423938362300662E-2</v>
      </c>
      <c r="P155" s="30">
        <f t="shared" si="90"/>
        <v>2.8847876724601325E-2</v>
      </c>
      <c r="Q155" s="30">
        <f t="shared" si="90"/>
        <v>5.769575344920265E-2</v>
      </c>
      <c r="R155" s="30">
        <f t="shared" si="90"/>
        <v>0.1153915068984053</v>
      </c>
      <c r="S155" s="30">
        <f t="shared" si="90"/>
        <v>0.2307830137968106</v>
      </c>
      <c r="T155" s="30">
        <f t="shared" si="90"/>
        <v>0.4615660275936212</v>
      </c>
      <c r="U155" s="30">
        <f t="shared" si="90"/>
        <v>0.9231320551872424</v>
      </c>
      <c r="V155" s="30">
        <f t="shared" si="90"/>
        <v>1.8462641103744848</v>
      </c>
      <c r="W155" s="30">
        <f t="shared" si="90"/>
        <v>3.6925282207489696</v>
      </c>
      <c r="X155" s="30">
        <f t="shared" si="90"/>
        <v>7.3850564414979392</v>
      </c>
      <c r="Y155" s="30">
        <f t="shared" si="90"/>
        <v>14.770112882995878</v>
      </c>
      <c r="Z155" s="30">
        <f t="shared" si="90"/>
        <v>29.540225765991757</v>
      </c>
      <c r="AA155" s="30">
        <f t="shared" si="90"/>
        <v>44.310338648987639</v>
      </c>
      <c r="AB155" s="30">
        <f t="shared" si="90"/>
        <v>51.695395090485576</v>
      </c>
      <c r="AC155" s="30">
        <f t="shared" si="90"/>
        <v>55.535624440064502</v>
      </c>
      <c r="AD155" s="30">
        <f t="shared" si="90"/>
        <v>59.080451531983513</v>
      </c>
      <c r="AE155" s="30">
        <f t="shared" si="90"/>
        <v>118.16090306396703</v>
      </c>
      <c r="AF155" s="30">
        <f t="shared" si="90"/>
        <v>236.32180612793405</v>
      </c>
      <c r="AG155" s="30">
        <f t="shared" si="90"/>
        <v>472.64361225586811</v>
      </c>
      <c r="AH155" s="30">
        <f t="shared" si="90"/>
        <v>945.28722451173621</v>
      </c>
      <c r="AI155" s="29">
        <f t="shared" si="90"/>
        <v>1890.5744490234724</v>
      </c>
      <c r="AJ155" s="30">
        <f t="shared" si="90"/>
        <v>3781.1488980469449</v>
      </c>
      <c r="AK155" s="30">
        <f t="shared" si="90"/>
        <v>7562.2977960938897</v>
      </c>
      <c r="AL155" s="30">
        <f t="shared" si="90"/>
        <v>15124.595592187779</v>
      </c>
      <c r="AM155" s="30">
        <f t="shared" si="90"/>
        <v>19072.225586812401</v>
      </c>
      <c r="AN155" s="71">
        <f t="shared" si="90"/>
        <v>19072.225586812401</v>
      </c>
      <c r="AO155" s="45"/>
    </row>
    <row r="156" spans="1:41" x14ac:dyDescent="0.25">
      <c r="A156" s="42" t="s">
        <v>20</v>
      </c>
      <c r="B156" s="6">
        <f>'Population by Age - Wikipedia'!D9</f>
        <v>0.13133799200038965</v>
      </c>
      <c r="C156" s="10">
        <f t="shared" si="76"/>
        <v>43415808.994604804</v>
      </c>
      <c r="D156" s="23">
        <f>'AU Infection Rate by Age'!C12</f>
        <v>9.8548647195843032E-3</v>
      </c>
      <c r="E156" s="17"/>
      <c r="F156" s="10"/>
      <c r="G156" s="10"/>
      <c r="H156" s="10"/>
      <c r="I156" s="10"/>
      <c r="J156" s="10"/>
      <c r="K156" s="10"/>
      <c r="L156" s="20">
        <f t="shared" ref="L156:AN156" si="91">L$108*$D$156</f>
        <v>0.30796452248700945</v>
      </c>
      <c r="M156" s="21">
        <f t="shared" si="91"/>
        <v>0.6159290449740189</v>
      </c>
      <c r="N156" s="21">
        <f t="shared" si="91"/>
        <v>1.2318580899480378</v>
      </c>
      <c r="O156" s="21">
        <f t="shared" si="91"/>
        <v>2.4637161798960756</v>
      </c>
      <c r="P156" s="21">
        <f t="shared" si="91"/>
        <v>4.9274323597921512</v>
      </c>
      <c r="Q156" s="21">
        <f t="shared" si="91"/>
        <v>9.8548647195843024</v>
      </c>
      <c r="R156" s="21">
        <f t="shared" si="91"/>
        <v>19.709729439168605</v>
      </c>
      <c r="S156" s="21">
        <f t="shared" si="91"/>
        <v>39.41945887833721</v>
      </c>
      <c r="T156" s="21">
        <f t="shared" si="91"/>
        <v>78.838917756674419</v>
      </c>
      <c r="U156" s="21">
        <f t="shared" si="91"/>
        <v>157.67783551334884</v>
      </c>
      <c r="V156" s="21">
        <f t="shared" si="91"/>
        <v>315.35567102669768</v>
      </c>
      <c r="W156" s="21">
        <f t="shared" si="91"/>
        <v>630.71134205339536</v>
      </c>
      <c r="X156" s="21">
        <f t="shared" si="91"/>
        <v>1261.4226841067907</v>
      </c>
      <c r="Y156" s="21">
        <f t="shared" si="91"/>
        <v>2522.8453682135814</v>
      </c>
      <c r="Z156" s="21">
        <f t="shared" si="91"/>
        <v>5045.6907364271628</v>
      </c>
      <c r="AA156" s="21">
        <f t="shared" si="91"/>
        <v>7568.5361046407452</v>
      </c>
      <c r="AB156" s="21">
        <f t="shared" si="91"/>
        <v>8829.9587887475354</v>
      </c>
      <c r="AC156" s="21">
        <f t="shared" si="91"/>
        <v>9485.8985844830677</v>
      </c>
      <c r="AD156" s="21">
        <f t="shared" si="91"/>
        <v>10091.381472854326</v>
      </c>
      <c r="AE156" s="21">
        <f t="shared" si="91"/>
        <v>20182.762945708651</v>
      </c>
      <c r="AF156" s="21">
        <f t="shared" si="91"/>
        <v>40365.525891417303</v>
      </c>
      <c r="AG156" s="21">
        <f t="shared" si="91"/>
        <v>80731.051782834606</v>
      </c>
      <c r="AH156" s="21">
        <f t="shared" si="91"/>
        <v>161462.10356566921</v>
      </c>
      <c r="AI156" s="20">
        <f t="shared" si="91"/>
        <v>322924.20713133842</v>
      </c>
      <c r="AJ156" s="21">
        <f t="shared" si="91"/>
        <v>645848.41426267684</v>
      </c>
      <c r="AK156" s="21">
        <f t="shared" si="91"/>
        <v>1291696.8285253537</v>
      </c>
      <c r="AL156" s="21">
        <f t="shared" si="91"/>
        <v>2583393.6570507074</v>
      </c>
      <c r="AM156" s="21">
        <f t="shared" si="91"/>
        <v>3257678.2834617449</v>
      </c>
      <c r="AN156" s="72">
        <f t="shared" si="91"/>
        <v>3257678.2834617449</v>
      </c>
      <c r="AO156" s="45"/>
    </row>
    <row r="157" spans="1:41" x14ac:dyDescent="0.25">
      <c r="A157" s="42"/>
      <c r="B157" s="7"/>
      <c r="C157" s="11"/>
      <c r="D157" s="26"/>
      <c r="E157" s="28">
        <v>0</v>
      </c>
      <c r="F157" s="10"/>
      <c r="G157" s="10"/>
      <c r="H157" s="10"/>
      <c r="I157" s="10"/>
      <c r="J157" s="10"/>
      <c r="K157" s="10"/>
      <c r="L157" s="31">
        <f t="shared" ref="L157:AN157" si="92">L$108*$D$156*$E$157</f>
        <v>0</v>
      </c>
      <c r="M157" s="32">
        <f t="shared" si="92"/>
        <v>0</v>
      </c>
      <c r="N157" s="32">
        <f t="shared" si="92"/>
        <v>0</v>
      </c>
      <c r="O157" s="32">
        <f t="shared" si="92"/>
        <v>0</v>
      </c>
      <c r="P157" s="32">
        <f t="shared" si="92"/>
        <v>0</v>
      </c>
      <c r="Q157" s="32">
        <f t="shared" si="92"/>
        <v>0</v>
      </c>
      <c r="R157" s="32">
        <f t="shared" si="92"/>
        <v>0</v>
      </c>
      <c r="S157" s="32">
        <f t="shared" si="92"/>
        <v>0</v>
      </c>
      <c r="T157" s="32">
        <f t="shared" si="92"/>
        <v>0</v>
      </c>
      <c r="U157" s="32">
        <f t="shared" si="92"/>
        <v>0</v>
      </c>
      <c r="V157" s="32">
        <f t="shared" si="92"/>
        <v>0</v>
      </c>
      <c r="W157" s="32">
        <f t="shared" si="92"/>
        <v>0</v>
      </c>
      <c r="X157" s="32">
        <f t="shared" si="92"/>
        <v>0</v>
      </c>
      <c r="Y157" s="32">
        <f t="shared" si="92"/>
        <v>0</v>
      </c>
      <c r="Z157" s="32">
        <f t="shared" si="92"/>
        <v>0</v>
      </c>
      <c r="AA157" s="32">
        <f t="shared" si="92"/>
        <v>0</v>
      </c>
      <c r="AB157" s="32">
        <f t="shared" si="92"/>
        <v>0</v>
      </c>
      <c r="AC157" s="32">
        <f t="shared" si="92"/>
        <v>0</v>
      </c>
      <c r="AD157" s="32">
        <f t="shared" si="92"/>
        <v>0</v>
      </c>
      <c r="AE157" s="32">
        <f t="shared" si="92"/>
        <v>0</v>
      </c>
      <c r="AF157" s="32">
        <f t="shared" si="92"/>
        <v>0</v>
      </c>
      <c r="AG157" s="32">
        <f t="shared" si="92"/>
        <v>0</v>
      </c>
      <c r="AH157" s="32">
        <f t="shared" si="92"/>
        <v>0</v>
      </c>
      <c r="AI157" s="29">
        <f t="shared" si="92"/>
        <v>0</v>
      </c>
      <c r="AJ157" s="30">
        <f t="shared" si="92"/>
        <v>0</v>
      </c>
      <c r="AK157" s="30">
        <f t="shared" si="92"/>
        <v>0</v>
      </c>
      <c r="AL157" s="30">
        <f t="shared" si="92"/>
        <v>0</v>
      </c>
      <c r="AM157" s="30">
        <f t="shared" si="92"/>
        <v>0</v>
      </c>
      <c r="AN157" s="71">
        <f t="shared" si="92"/>
        <v>0</v>
      </c>
      <c r="AO157" s="45"/>
    </row>
    <row r="158" spans="1:41" x14ac:dyDescent="0.25">
      <c r="A158" s="41" t="s">
        <v>39</v>
      </c>
      <c r="B158" s="14"/>
      <c r="C158" s="10"/>
      <c r="D158" s="10"/>
      <c r="E158" s="15"/>
      <c r="F158" s="10"/>
      <c r="G158" s="10"/>
      <c r="H158" s="10"/>
      <c r="I158" s="10"/>
      <c r="J158" s="10"/>
      <c r="K158" s="10"/>
      <c r="L158" s="18">
        <f t="shared" ref="L158:AE158" si="93">SUM(L140,L142,L144,L146,L148,L150,L152,L154,L156)</f>
        <v>31.249999999999996</v>
      </c>
      <c r="M158" s="19">
        <f t="shared" si="93"/>
        <v>62.499999999999993</v>
      </c>
      <c r="N158" s="19">
        <f t="shared" si="93"/>
        <v>124.99999999999999</v>
      </c>
      <c r="O158" s="19">
        <f t="shared" si="93"/>
        <v>249.99999999999997</v>
      </c>
      <c r="P158" s="19">
        <f t="shared" si="93"/>
        <v>499.99999999999994</v>
      </c>
      <c r="Q158" s="19">
        <f>SUM(Q140,Q142,Q144,Q146,Q148,Q150,Q152,Q154,Q156)</f>
        <v>999.99999999999989</v>
      </c>
      <c r="R158" s="19">
        <f t="shared" si="93"/>
        <v>1999.9999999999998</v>
      </c>
      <c r="S158" s="19">
        <f t="shared" si="93"/>
        <v>3999.9999999999995</v>
      </c>
      <c r="T158" s="19">
        <f t="shared" si="93"/>
        <v>7999.9999999999991</v>
      </c>
      <c r="U158" s="19">
        <f t="shared" si="93"/>
        <v>15999.999999999998</v>
      </c>
      <c r="V158" s="19">
        <f t="shared" si="93"/>
        <v>31999.999999999996</v>
      </c>
      <c r="W158" s="19">
        <f t="shared" si="93"/>
        <v>63999.999999999993</v>
      </c>
      <c r="X158" s="19">
        <f t="shared" si="93"/>
        <v>127999.99999999999</v>
      </c>
      <c r="Y158" s="19">
        <f t="shared" si="93"/>
        <v>255999.99999999997</v>
      </c>
      <c r="Z158" s="19">
        <f t="shared" si="93"/>
        <v>511999.99999999994</v>
      </c>
      <c r="AA158" s="19">
        <f t="shared" ref="AA158:AC158" si="94">SUM(AA140,AA142,AA144,AA146,AA148,AA150,AA152,AA154,AA156)</f>
        <v>768000</v>
      </c>
      <c r="AB158" s="19">
        <f t="shared" si="94"/>
        <v>895999.99999999988</v>
      </c>
      <c r="AC158" s="19">
        <f t="shared" si="94"/>
        <v>962559.99999999988</v>
      </c>
      <c r="AD158" s="19">
        <f t="shared" si="93"/>
        <v>1023999.9999999999</v>
      </c>
      <c r="AE158" s="19">
        <f t="shared" si="93"/>
        <v>2047999.9999999998</v>
      </c>
      <c r="AF158" s="19">
        <f t="shared" ref="AF158:AH159" si="95">SUM(AF140,AF142,AF144,AF146,AF148,AF150,AF152,AF154,AF156)</f>
        <v>4095999.9999999995</v>
      </c>
      <c r="AG158" s="19">
        <f t="shared" si="95"/>
        <v>8191999.9999999991</v>
      </c>
      <c r="AH158" s="19">
        <f t="shared" si="95"/>
        <v>16383999.999999998</v>
      </c>
      <c r="AI158" s="18">
        <f t="shared" ref="AI158:AN158" si="96">SUM(AI140,AI142,AI144,AI146,AI148,AI150,AI152,AI154,AI156)</f>
        <v>32767999.999999996</v>
      </c>
      <c r="AJ158" s="19">
        <f t="shared" si="96"/>
        <v>65535999.999999993</v>
      </c>
      <c r="AK158" s="19">
        <f t="shared" si="96"/>
        <v>131071999.99999999</v>
      </c>
      <c r="AL158" s="19">
        <f t="shared" si="96"/>
        <v>262143999.99999997</v>
      </c>
      <c r="AM158" s="19">
        <f t="shared" si="96"/>
        <v>330565499.99999994</v>
      </c>
      <c r="AN158" s="60">
        <f t="shared" si="96"/>
        <v>330565499.99999994</v>
      </c>
      <c r="AO158" s="45"/>
    </row>
    <row r="159" spans="1:41" x14ac:dyDescent="0.25">
      <c r="A159" s="43" t="s">
        <v>38</v>
      </c>
      <c r="B159" s="44"/>
      <c r="C159" s="11"/>
      <c r="D159" s="11"/>
      <c r="E159" s="38"/>
      <c r="F159" s="11"/>
      <c r="G159" s="11"/>
      <c r="H159" s="11"/>
      <c r="I159" s="11"/>
      <c r="J159" s="11"/>
      <c r="K159" s="11"/>
      <c r="L159" s="31">
        <f>SUM(L141,L143,L145,L147,L149,L151,L153,L155,L157)</f>
        <v>0.69269060204264477</v>
      </c>
      <c r="M159" s="32">
        <f>SUM(M141,M143,M145,M147,M149,M151,M153,M155,M157)</f>
        <v>1.3853812040852895</v>
      </c>
      <c r="N159" s="32">
        <f t="shared" ref="N159:AE159" si="97">SUM(N141,N143,N145,N147,N149,N151,N153,N155,N157)</f>
        <v>2.7707624081705791</v>
      </c>
      <c r="O159" s="32">
        <f t="shared" si="97"/>
        <v>5.5415248163411581</v>
      </c>
      <c r="P159" s="32">
        <f t="shared" si="97"/>
        <v>11.083049632682316</v>
      </c>
      <c r="Q159" s="32">
        <f t="shared" si="97"/>
        <v>22.166099265364632</v>
      </c>
      <c r="R159" s="32">
        <f t="shared" si="97"/>
        <v>44.332198530729265</v>
      </c>
      <c r="S159" s="32">
        <f t="shared" si="97"/>
        <v>88.66439706145853</v>
      </c>
      <c r="T159" s="32">
        <f t="shared" si="97"/>
        <v>177.32879412291706</v>
      </c>
      <c r="U159" s="32">
        <f t="shared" si="97"/>
        <v>354.65758824583412</v>
      </c>
      <c r="V159" s="32">
        <f t="shared" si="97"/>
        <v>709.31517649166824</v>
      </c>
      <c r="W159" s="32">
        <f t="shared" si="97"/>
        <v>1418.6303529833365</v>
      </c>
      <c r="X159" s="32">
        <f t="shared" si="97"/>
        <v>2837.260705966673</v>
      </c>
      <c r="Y159" s="32">
        <f t="shared" si="97"/>
        <v>5674.5214119333459</v>
      </c>
      <c r="Z159" s="32">
        <f t="shared" si="97"/>
        <v>11349.042823866692</v>
      </c>
      <c r="AA159" s="32">
        <f t="shared" ref="AA159:AC159" si="98">SUM(AA141,AA143,AA145,AA147,AA149,AA151,AA153,AA155,AA157)</f>
        <v>17023.564235800037</v>
      </c>
      <c r="AB159" s="32">
        <f t="shared" si="98"/>
        <v>19860.824941766703</v>
      </c>
      <c r="AC159" s="32">
        <f t="shared" si="98"/>
        <v>21336.200508869377</v>
      </c>
      <c r="AD159" s="32">
        <f t="shared" si="97"/>
        <v>22698.085647733384</v>
      </c>
      <c r="AE159" s="32">
        <f t="shared" si="97"/>
        <v>45396.171295466767</v>
      </c>
      <c r="AF159" s="32">
        <f t="shared" si="95"/>
        <v>90792.342590933535</v>
      </c>
      <c r="AG159" s="32">
        <f t="shared" si="95"/>
        <v>181584.68518186707</v>
      </c>
      <c r="AH159" s="32">
        <f t="shared" si="95"/>
        <v>363169.37036373414</v>
      </c>
      <c r="AI159" s="31">
        <f t="shared" ref="AI159:AN159" si="99">SUM(AI141,AI143,AI145,AI147,AI149,AI151,AI153,AI155,AI157)</f>
        <v>726338.74072746828</v>
      </c>
      <c r="AJ159" s="32">
        <f t="shared" si="99"/>
        <v>1452677.4814549366</v>
      </c>
      <c r="AK159" s="32">
        <f t="shared" si="99"/>
        <v>2905354.9629098731</v>
      </c>
      <c r="AL159" s="32">
        <f t="shared" si="99"/>
        <v>5810709.9258197462</v>
      </c>
      <c r="AM159" s="32">
        <f t="shared" si="99"/>
        <v>7327347.6867048908</v>
      </c>
      <c r="AN159" s="73">
        <f t="shared" si="99"/>
        <v>7327347.6867048908</v>
      </c>
      <c r="AO159" s="45"/>
    </row>
    <row r="160" spans="1:41" x14ac:dyDescent="0.25">
      <c r="A160" s="42"/>
      <c r="B160" s="14"/>
      <c r="C160" s="10"/>
      <c r="D160" s="10"/>
      <c r="E160" s="15"/>
      <c r="F160" s="10"/>
      <c r="G160" s="10"/>
      <c r="H160" s="10"/>
      <c r="I160" s="10"/>
      <c r="J160" s="10"/>
      <c r="K160" s="10"/>
      <c r="L160" s="45"/>
      <c r="M160" s="45"/>
      <c r="N160" s="45"/>
      <c r="O160" s="45"/>
      <c r="P160" s="45"/>
      <c r="Q160" s="45"/>
      <c r="R160" s="45"/>
      <c r="S160" s="45"/>
      <c r="T160" s="45"/>
      <c r="U160" s="45"/>
      <c r="V160" s="45"/>
      <c r="W160" s="45"/>
      <c r="X160" s="45"/>
      <c r="Y160" s="45"/>
      <c r="Z160" s="45"/>
      <c r="AA160" s="45"/>
      <c r="AB160" s="45"/>
      <c r="AC160" s="45"/>
      <c r="AD160" s="45"/>
      <c r="AE160" s="45"/>
      <c r="AF160" s="45"/>
    </row>
    <row r="161" spans="1:41" x14ac:dyDescent="0.25">
      <c r="A161" s="54" t="s">
        <v>50</v>
      </c>
      <c r="B161" s="14"/>
      <c r="C161" s="10"/>
      <c r="D161" s="10"/>
      <c r="E161" s="15"/>
      <c r="F161" s="10"/>
      <c r="G161" s="10"/>
      <c r="H161" s="10"/>
      <c r="I161" s="10"/>
      <c r="J161" s="10"/>
      <c r="K161" s="10"/>
      <c r="L161" s="45"/>
      <c r="M161" s="45"/>
      <c r="N161" s="45"/>
      <c r="O161" s="45"/>
      <c r="P161" s="45"/>
      <c r="Q161" s="45"/>
      <c r="R161" s="45"/>
      <c r="S161" s="45"/>
      <c r="T161" s="45"/>
      <c r="U161" s="45"/>
      <c r="V161" s="45"/>
      <c r="W161" s="45"/>
      <c r="X161" s="45"/>
      <c r="Y161" s="45"/>
      <c r="Z161" s="45"/>
      <c r="AA161" s="45"/>
      <c r="AB161" s="45"/>
      <c r="AC161" s="45"/>
      <c r="AD161" s="45"/>
      <c r="AE161" s="45"/>
      <c r="AF161" s="45"/>
    </row>
    <row r="162" spans="1:41" x14ac:dyDescent="0.25">
      <c r="A162" s="4"/>
      <c r="B162" s="9" t="s">
        <v>5</v>
      </c>
      <c r="C162" s="9" t="s">
        <v>3</v>
      </c>
      <c r="D162" s="9"/>
      <c r="E162" s="59" t="s">
        <v>2</v>
      </c>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9"/>
      <c r="AM162" s="9"/>
      <c r="AN162" s="5"/>
      <c r="AO162" s="47"/>
    </row>
    <row r="163" spans="1:41" x14ac:dyDescent="0.25">
      <c r="A163" s="48" t="s">
        <v>1</v>
      </c>
      <c r="B163" s="24">
        <v>0.36799999999999999</v>
      </c>
      <c r="C163" s="10">
        <f>$B$94 * B163</f>
        <v>121648104</v>
      </c>
      <c r="D163" s="16"/>
      <c r="E163" s="16"/>
      <c r="F163" s="16"/>
      <c r="G163" s="16"/>
      <c r="H163" s="16"/>
      <c r="I163" s="16"/>
      <c r="J163" s="16"/>
      <c r="K163" s="16"/>
      <c r="L163" s="18">
        <f t="shared" ref="L163:AN163" si="100">L$108*$B$163</f>
        <v>11.5</v>
      </c>
      <c r="M163" s="19">
        <f t="shared" si="100"/>
        <v>23</v>
      </c>
      <c r="N163" s="19">
        <f t="shared" si="100"/>
        <v>46</v>
      </c>
      <c r="O163" s="19">
        <f t="shared" si="100"/>
        <v>92</v>
      </c>
      <c r="P163" s="19">
        <f t="shared" si="100"/>
        <v>184</v>
      </c>
      <c r="Q163" s="19">
        <f t="shared" si="100"/>
        <v>368</v>
      </c>
      <c r="R163" s="19">
        <f t="shared" si="100"/>
        <v>736</v>
      </c>
      <c r="S163" s="19">
        <f t="shared" si="100"/>
        <v>1472</v>
      </c>
      <c r="T163" s="19">
        <f t="shared" si="100"/>
        <v>2944</v>
      </c>
      <c r="U163" s="19">
        <f t="shared" si="100"/>
        <v>5888</v>
      </c>
      <c r="V163" s="19">
        <f t="shared" si="100"/>
        <v>11776</v>
      </c>
      <c r="W163" s="19">
        <f t="shared" si="100"/>
        <v>23552</v>
      </c>
      <c r="X163" s="19">
        <f t="shared" si="100"/>
        <v>47104</v>
      </c>
      <c r="Y163" s="19">
        <f t="shared" si="100"/>
        <v>94208</v>
      </c>
      <c r="Z163" s="19">
        <f t="shared" si="100"/>
        <v>188416</v>
      </c>
      <c r="AA163" s="19">
        <f t="shared" si="100"/>
        <v>282624</v>
      </c>
      <c r="AB163" s="19">
        <f t="shared" si="100"/>
        <v>329728</v>
      </c>
      <c r="AC163" s="19">
        <f t="shared" si="100"/>
        <v>354222.08000000002</v>
      </c>
      <c r="AD163" s="19">
        <f t="shared" si="100"/>
        <v>376832</v>
      </c>
      <c r="AE163" s="19">
        <f t="shared" si="100"/>
        <v>753664</v>
      </c>
      <c r="AF163" s="19">
        <f t="shared" si="100"/>
        <v>1507328</v>
      </c>
      <c r="AG163" s="19">
        <f t="shared" si="100"/>
        <v>3014656</v>
      </c>
      <c r="AH163" s="19">
        <f t="shared" si="100"/>
        <v>6029312</v>
      </c>
      <c r="AI163" s="18">
        <f t="shared" si="100"/>
        <v>12058624</v>
      </c>
      <c r="AJ163" s="19">
        <f t="shared" si="100"/>
        <v>24117248</v>
      </c>
      <c r="AK163" s="19">
        <f t="shared" si="100"/>
        <v>48234496</v>
      </c>
      <c r="AL163" s="19">
        <f t="shared" si="100"/>
        <v>96468992</v>
      </c>
      <c r="AM163" s="19">
        <f t="shared" si="100"/>
        <v>121648104</v>
      </c>
      <c r="AN163" s="60">
        <f t="shared" si="100"/>
        <v>121648104</v>
      </c>
      <c r="AO163" s="45"/>
    </row>
    <row r="164" spans="1:41" x14ac:dyDescent="0.25">
      <c r="A164" s="48"/>
      <c r="B164" s="16"/>
      <c r="C164" s="16"/>
      <c r="D164" s="25"/>
      <c r="E164" s="46">
        <v>0.105</v>
      </c>
      <c r="F164" s="16"/>
      <c r="G164" s="16"/>
      <c r="H164" s="16"/>
      <c r="I164" s="16"/>
      <c r="J164" s="16"/>
      <c r="K164" s="16"/>
      <c r="L164" s="29">
        <f>L163*$E$164</f>
        <v>1.2075</v>
      </c>
      <c r="M164" s="30">
        <f t="shared" ref="M164:AE164" si="101">M163*$E$164</f>
        <v>2.415</v>
      </c>
      <c r="N164" s="30">
        <f t="shared" si="101"/>
        <v>4.83</v>
      </c>
      <c r="O164" s="30">
        <f t="shared" si="101"/>
        <v>9.66</v>
      </c>
      <c r="P164" s="30">
        <f t="shared" si="101"/>
        <v>19.32</v>
      </c>
      <c r="Q164" s="30">
        <f t="shared" si="101"/>
        <v>38.64</v>
      </c>
      <c r="R164" s="30">
        <f t="shared" si="101"/>
        <v>77.28</v>
      </c>
      <c r="S164" s="30">
        <f t="shared" si="101"/>
        <v>154.56</v>
      </c>
      <c r="T164" s="30">
        <f t="shared" si="101"/>
        <v>309.12</v>
      </c>
      <c r="U164" s="30">
        <f t="shared" si="101"/>
        <v>618.24</v>
      </c>
      <c r="V164" s="30">
        <f t="shared" si="101"/>
        <v>1236.48</v>
      </c>
      <c r="W164" s="30">
        <f t="shared" si="101"/>
        <v>2472.96</v>
      </c>
      <c r="X164" s="30">
        <f t="shared" si="101"/>
        <v>4945.92</v>
      </c>
      <c r="Y164" s="30">
        <f t="shared" si="101"/>
        <v>9891.84</v>
      </c>
      <c r="Z164" s="30">
        <f t="shared" si="101"/>
        <v>19783.68</v>
      </c>
      <c r="AA164" s="30">
        <f t="shared" ref="AA164:AC164" si="102">AA163*$E$164</f>
        <v>29675.52</v>
      </c>
      <c r="AB164" s="30">
        <f t="shared" si="102"/>
        <v>34621.440000000002</v>
      </c>
      <c r="AC164" s="30">
        <f t="shared" si="102"/>
        <v>37193.318400000004</v>
      </c>
      <c r="AD164" s="30">
        <f t="shared" si="101"/>
        <v>39567.360000000001</v>
      </c>
      <c r="AE164" s="30">
        <f t="shared" si="101"/>
        <v>79134.720000000001</v>
      </c>
      <c r="AF164" s="30">
        <f>AF163*$E$164</f>
        <v>158269.44</v>
      </c>
      <c r="AG164" s="30">
        <f>AG163*$E$164</f>
        <v>316538.88</v>
      </c>
      <c r="AH164" s="30">
        <f>AH163*$E$164</f>
        <v>633077.76000000001</v>
      </c>
      <c r="AI164" s="29">
        <f t="shared" ref="AI164:AN164" si="103">AI163*$E$164</f>
        <v>1266155.52</v>
      </c>
      <c r="AJ164" s="30">
        <f t="shared" si="103"/>
        <v>2532311.04</v>
      </c>
      <c r="AK164" s="30">
        <f t="shared" si="103"/>
        <v>5064622.0800000001</v>
      </c>
      <c r="AL164" s="30">
        <f t="shared" si="103"/>
        <v>10129244.16</v>
      </c>
      <c r="AM164" s="30">
        <f t="shared" si="103"/>
        <v>12773050.92</v>
      </c>
      <c r="AN164" s="71">
        <f t="shared" si="103"/>
        <v>12773050.92</v>
      </c>
      <c r="AO164" s="45"/>
    </row>
    <row r="165" spans="1:41" x14ac:dyDescent="0.25">
      <c r="A165" s="48" t="s">
        <v>4</v>
      </c>
      <c r="B165" s="24">
        <v>9.8000000000000004E-2</v>
      </c>
      <c r="C165" s="10">
        <f>$B$94 * B165</f>
        <v>32395419</v>
      </c>
      <c r="D165" s="47"/>
      <c r="E165" s="16"/>
      <c r="F165" s="16"/>
      <c r="G165" s="16"/>
      <c r="H165" s="16"/>
      <c r="I165" s="16"/>
      <c r="J165" s="16"/>
      <c r="K165" s="16"/>
      <c r="L165" s="20">
        <f t="shared" ref="L165:AN165" si="104">L$108*$B$165</f>
        <v>3.0625</v>
      </c>
      <c r="M165" s="21">
        <f t="shared" si="104"/>
        <v>6.125</v>
      </c>
      <c r="N165" s="21">
        <f t="shared" si="104"/>
        <v>12.25</v>
      </c>
      <c r="O165" s="21">
        <f t="shared" si="104"/>
        <v>24.5</v>
      </c>
      <c r="P165" s="21">
        <f t="shared" si="104"/>
        <v>49</v>
      </c>
      <c r="Q165" s="21">
        <f t="shared" si="104"/>
        <v>98</v>
      </c>
      <c r="R165" s="21">
        <f t="shared" si="104"/>
        <v>196</v>
      </c>
      <c r="S165" s="21">
        <f t="shared" si="104"/>
        <v>392</v>
      </c>
      <c r="T165" s="21">
        <f t="shared" si="104"/>
        <v>784</v>
      </c>
      <c r="U165" s="21">
        <f t="shared" si="104"/>
        <v>1568</v>
      </c>
      <c r="V165" s="21">
        <f t="shared" si="104"/>
        <v>3136</v>
      </c>
      <c r="W165" s="21">
        <f t="shared" si="104"/>
        <v>6272</v>
      </c>
      <c r="X165" s="21">
        <f t="shared" si="104"/>
        <v>12544</v>
      </c>
      <c r="Y165" s="21">
        <f t="shared" si="104"/>
        <v>25088</v>
      </c>
      <c r="Z165" s="21">
        <f t="shared" si="104"/>
        <v>50176</v>
      </c>
      <c r="AA165" s="21">
        <f t="shared" si="104"/>
        <v>75264</v>
      </c>
      <c r="AB165" s="21">
        <f t="shared" si="104"/>
        <v>87808</v>
      </c>
      <c r="AC165" s="21">
        <f t="shared" si="104"/>
        <v>94330.880000000005</v>
      </c>
      <c r="AD165" s="21">
        <f t="shared" si="104"/>
        <v>100352</v>
      </c>
      <c r="AE165" s="21">
        <f t="shared" si="104"/>
        <v>200704</v>
      </c>
      <c r="AF165" s="21">
        <f t="shared" si="104"/>
        <v>401408</v>
      </c>
      <c r="AG165" s="21">
        <f t="shared" si="104"/>
        <v>802816</v>
      </c>
      <c r="AH165" s="21">
        <f t="shared" si="104"/>
        <v>1605632</v>
      </c>
      <c r="AI165" s="20">
        <f t="shared" si="104"/>
        <v>3211264</v>
      </c>
      <c r="AJ165" s="21">
        <f t="shared" si="104"/>
        <v>6422528</v>
      </c>
      <c r="AK165" s="21">
        <f t="shared" si="104"/>
        <v>12845056</v>
      </c>
      <c r="AL165" s="21">
        <f t="shared" si="104"/>
        <v>25690112</v>
      </c>
      <c r="AM165" s="21">
        <f t="shared" si="104"/>
        <v>32395419</v>
      </c>
      <c r="AN165" s="72">
        <f t="shared" si="104"/>
        <v>32395419</v>
      </c>
      <c r="AO165" s="45"/>
    </row>
    <row r="166" spans="1:41" x14ac:dyDescent="0.25">
      <c r="A166" s="48"/>
      <c r="B166" s="16"/>
      <c r="C166" s="16"/>
      <c r="D166" s="25"/>
      <c r="E166" s="46">
        <v>7.2999999999999995E-2</v>
      </c>
      <c r="F166" s="16"/>
      <c r="G166" s="16"/>
      <c r="H166" s="16"/>
      <c r="I166" s="16"/>
      <c r="J166" s="16"/>
      <c r="K166" s="16"/>
      <c r="L166" s="29">
        <f t="shared" ref="L166:AE166" si="105">L165*$E$166</f>
        <v>0.2235625</v>
      </c>
      <c r="M166" s="30">
        <f t="shared" si="105"/>
        <v>0.44712499999999999</v>
      </c>
      <c r="N166" s="30">
        <f t="shared" si="105"/>
        <v>0.89424999999999999</v>
      </c>
      <c r="O166" s="30">
        <f t="shared" si="105"/>
        <v>1.7885</v>
      </c>
      <c r="P166" s="30">
        <f t="shared" si="105"/>
        <v>3.577</v>
      </c>
      <c r="Q166" s="30">
        <f t="shared" si="105"/>
        <v>7.1539999999999999</v>
      </c>
      <c r="R166" s="30">
        <f t="shared" si="105"/>
        <v>14.308</v>
      </c>
      <c r="S166" s="30">
        <f t="shared" si="105"/>
        <v>28.616</v>
      </c>
      <c r="T166" s="30">
        <f t="shared" si="105"/>
        <v>57.231999999999999</v>
      </c>
      <c r="U166" s="30">
        <f t="shared" si="105"/>
        <v>114.464</v>
      </c>
      <c r="V166" s="30">
        <f t="shared" si="105"/>
        <v>228.928</v>
      </c>
      <c r="W166" s="30">
        <f t="shared" si="105"/>
        <v>457.85599999999999</v>
      </c>
      <c r="X166" s="30">
        <f t="shared" si="105"/>
        <v>915.71199999999999</v>
      </c>
      <c r="Y166" s="30">
        <f t="shared" si="105"/>
        <v>1831.424</v>
      </c>
      <c r="Z166" s="30">
        <f t="shared" si="105"/>
        <v>3662.848</v>
      </c>
      <c r="AA166" s="30">
        <f t="shared" ref="AA166:AC166" si="106">AA165*$E$166</f>
        <v>5494.2719999999999</v>
      </c>
      <c r="AB166" s="30">
        <f t="shared" si="106"/>
        <v>6409.9839999999995</v>
      </c>
      <c r="AC166" s="30">
        <f t="shared" si="106"/>
        <v>6886.1542399999998</v>
      </c>
      <c r="AD166" s="30">
        <f t="shared" si="105"/>
        <v>7325.6959999999999</v>
      </c>
      <c r="AE166" s="30">
        <f t="shared" si="105"/>
        <v>14651.392</v>
      </c>
      <c r="AF166" s="30">
        <f>AF165*$E$166</f>
        <v>29302.784</v>
      </c>
      <c r="AG166" s="30">
        <f>AG165*$E$166</f>
        <v>58605.567999999999</v>
      </c>
      <c r="AH166" s="30">
        <f>AH165*$E$166</f>
        <v>117211.136</v>
      </c>
      <c r="AI166" s="29">
        <f t="shared" ref="AI166:AN166" si="107">AI165*$E$166</f>
        <v>234422.272</v>
      </c>
      <c r="AJ166" s="30">
        <f t="shared" si="107"/>
        <v>468844.54399999999</v>
      </c>
      <c r="AK166" s="30">
        <f t="shared" si="107"/>
        <v>937689.08799999999</v>
      </c>
      <c r="AL166" s="30">
        <f t="shared" si="107"/>
        <v>1875378.176</v>
      </c>
      <c r="AM166" s="30">
        <f t="shared" si="107"/>
        <v>2364865.5869999998</v>
      </c>
      <c r="AN166" s="71">
        <f t="shared" si="107"/>
        <v>2364865.5869999998</v>
      </c>
      <c r="AO166" s="45"/>
    </row>
    <row r="167" spans="1:41" x14ac:dyDescent="0.25">
      <c r="A167" s="48" t="s">
        <v>6</v>
      </c>
      <c r="B167" s="24">
        <v>0.13400000000000001</v>
      </c>
      <c r="C167" s="10">
        <f>$B$94 * B167</f>
        <v>44295777</v>
      </c>
      <c r="D167" s="47"/>
      <c r="E167" s="16"/>
      <c r="F167" s="16"/>
      <c r="G167" s="16"/>
      <c r="H167" s="16"/>
      <c r="I167" s="16"/>
      <c r="J167" s="16"/>
      <c r="K167" s="16"/>
      <c r="L167" s="20">
        <f t="shared" ref="L167:AN167" si="108">L$108*$B$167</f>
        <v>4.1875</v>
      </c>
      <c r="M167" s="21">
        <f t="shared" si="108"/>
        <v>8.375</v>
      </c>
      <c r="N167" s="21">
        <f t="shared" si="108"/>
        <v>16.75</v>
      </c>
      <c r="O167" s="21">
        <f t="shared" si="108"/>
        <v>33.5</v>
      </c>
      <c r="P167" s="21">
        <f t="shared" si="108"/>
        <v>67</v>
      </c>
      <c r="Q167" s="21">
        <f t="shared" si="108"/>
        <v>134</v>
      </c>
      <c r="R167" s="21">
        <f t="shared" si="108"/>
        <v>268</v>
      </c>
      <c r="S167" s="21">
        <f t="shared" si="108"/>
        <v>536</v>
      </c>
      <c r="T167" s="21">
        <f t="shared" si="108"/>
        <v>1072</v>
      </c>
      <c r="U167" s="21">
        <f t="shared" si="108"/>
        <v>2144</v>
      </c>
      <c r="V167" s="21">
        <f t="shared" si="108"/>
        <v>4288</v>
      </c>
      <c r="W167" s="21">
        <f t="shared" si="108"/>
        <v>8576</v>
      </c>
      <c r="X167" s="21">
        <f t="shared" si="108"/>
        <v>17152</v>
      </c>
      <c r="Y167" s="21">
        <f t="shared" si="108"/>
        <v>34304</v>
      </c>
      <c r="Z167" s="21">
        <f t="shared" si="108"/>
        <v>68608</v>
      </c>
      <c r="AA167" s="21">
        <f t="shared" si="108"/>
        <v>102912</v>
      </c>
      <c r="AB167" s="21">
        <f t="shared" si="108"/>
        <v>120064</v>
      </c>
      <c r="AC167" s="21">
        <f t="shared" si="108"/>
        <v>128983.04000000001</v>
      </c>
      <c r="AD167" s="21">
        <f t="shared" si="108"/>
        <v>137216</v>
      </c>
      <c r="AE167" s="21">
        <f t="shared" si="108"/>
        <v>274432</v>
      </c>
      <c r="AF167" s="21">
        <f t="shared" si="108"/>
        <v>548864</v>
      </c>
      <c r="AG167" s="21">
        <f t="shared" si="108"/>
        <v>1097728</v>
      </c>
      <c r="AH167" s="21">
        <f t="shared" si="108"/>
        <v>2195456</v>
      </c>
      <c r="AI167" s="20">
        <f t="shared" si="108"/>
        <v>4390912</v>
      </c>
      <c r="AJ167" s="21">
        <f t="shared" si="108"/>
        <v>8781824</v>
      </c>
      <c r="AK167" s="21">
        <f t="shared" si="108"/>
        <v>17563648</v>
      </c>
      <c r="AL167" s="21">
        <f t="shared" si="108"/>
        <v>35127296</v>
      </c>
      <c r="AM167" s="21">
        <f t="shared" si="108"/>
        <v>44295777</v>
      </c>
      <c r="AN167" s="72">
        <f t="shared" si="108"/>
        <v>44295777</v>
      </c>
      <c r="AO167" s="45"/>
    </row>
    <row r="168" spans="1:41" x14ac:dyDescent="0.25">
      <c r="A168" s="48"/>
      <c r="B168" s="16"/>
      <c r="C168" s="16"/>
      <c r="D168" s="25"/>
      <c r="E168" s="46">
        <v>6.3E-2</v>
      </c>
      <c r="F168" s="16"/>
      <c r="G168" s="16"/>
      <c r="H168" s="16"/>
      <c r="I168" s="16"/>
      <c r="J168" s="16"/>
      <c r="K168" s="16"/>
      <c r="L168" s="29">
        <f t="shared" ref="L168:AE168" si="109">L167*$E$168</f>
        <v>0.26381250000000001</v>
      </c>
      <c r="M168" s="30">
        <f t="shared" si="109"/>
        <v>0.52762500000000001</v>
      </c>
      <c r="N168" s="30">
        <f t="shared" si="109"/>
        <v>1.05525</v>
      </c>
      <c r="O168" s="30">
        <f t="shared" si="109"/>
        <v>2.1105</v>
      </c>
      <c r="P168" s="30">
        <f t="shared" si="109"/>
        <v>4.2210000000000001</v>
      </c>
      <c r="Q168" s="30">
        <f t="shared" si="109"/>
        <v>8.4420000000000002</v>
      </c>
      <c r="R168" s="30">
        <f t="shared" si="109"/>
        <v>16.884</v>
      </c>
      <c r="S168" s="30">
        <f t="shared" si="109"/>
        <v>33.768000000000001</v>
      </c>
      <c r="T168" s="30">
        <f t="shared" si="109"/>
        <v>67.536000000000001</v>
      </c>
      <c r="U168" s="30">
        <f t="shared" si="109"/>
        <v>135.072</v>
      </c>
      <c r="V168" s="30">
        <f t="shared" si="109"/>
        <v>270.14400000000001</v>
      </c>
      <c r="W168" s="30">
        <f t="shared" si="109"/>
        <v>540.28800000000001</v>
      </c>
      <c r="X168" s="30">
        <f t="shared" si="109"/>
        <v>1080.576</v>
      </c>
      <c r="Y168" s="30">
        <f t="shared" si="109"/>
        <v>2161.152</v>
      </c>
      <c r="Z168" s="30">
        <f t="shared" si="109"/>
        <v>4322.3040000000001</v>
      </c>
      <c r="AA168" s="30">
        <f t="shared" ref="AA168:AC168" si="110">AA167*$E$168</f>
        <v>6483.4560000000001</v>
      </c>
      <c r="AB168" s="30">
        <f t="shared" si="110"/>
        <v>7564.0320000000002</v>
      </c>
      <c r="AC168" s="30">
        <f t="shared" si="110"/>
        <v>8125.931520000001</v>
      </c>
      <c r="AD168" s="30">
        <f t="shared" si="109"/>
        <v>8644.6080000000002</v>
      </c>
      <c r="AE168" s="30">
        <f t="shared" si="109"/>
        <v>17289.216</v>
      </c>
      <c r="AF168" s="30">
        <f>AF167*$E$168</f>
        <v>34578.432000000001</v>
      </c>
      <c r="AG168" s="30">
        <f>AG167*$E$168</f>
        <v>69156.864000000001</v>
      </c>
      <c r="AH168" s="30">
        <f>AH167*$E$168</f>
        <v>138313.728</v>
      </c>
      <c r="AI168" s="29">
        <f t="shared" ref="AI168:AN168" si="111">AI167*$E$168</f>
        <v>276627.45600000001</v>
      </c>
      <c r="AJ168" s="30">
        <f t="shared" si="111"/>
        <v>553254.91200000001</v>
      </c>
      <c r="AK168" s="30">
        <f t="shared" si="111"/>
        <v>1106509.824</v>
      </c>
      <c r="AL168" s="30">
        <f t="shared" si="111"/>
        <v>2213019.648</v>
      </c>
      <c r="AM168" s="30">
        <f t="shared" si="111"/>
        <v>2790633.9509999999</v>
      </c>
      <c r="AN168" s="71">
        <f t="shared" si="111"/>
        <v>2790633.9509999999</v>
      </c>
      <c r="AO168" s="45"/>
    </row>
    <row r="169" spans="1:41" x14ac:dyDescent="0.25">
      <c r="A169" s="48" t="s">
        <v>7</v>
      </c>
      <c r="B169" s="24">
        <v>0.46</v>
      </c>
      <c r="C169" s="10">
        <f>$B$94 * B169</f>
        <v>152060130</v>
      </c>
      <c r="D169" s="47"/>
      <c r="E169" s="16"/>
      <c r="F169" s="16"/>
      <c r="G169" s="16"/>
      <c r="H169" s="16"/>
      <c r="I169" s="16"/>
      <c r="J169" s="16"/>
      <c r="K169" s="16"/>
      <c r="L169" s="20">
        <f t="shared" ref="L169:AN169" si="112">L$108*$B$169</f>
        <v>14.375</v>
      </c>
      <c r="M169" s="21">
        <f t="shared" si="112"/>
        <v>28.75</v>
      </c>
      <c r="N169" s="21">
        <f t="shared" si="112"/>
        <v>57.5</v>
      </c>
      <c r="O169" s="21">
        <f t="shared" si="112"/>
        <v>115</v>
      </c>
      <c r="P169" s="21">
        <f t="shared" si="112"/>
        <v>230</v>
      </c>
      <c r="Q169" s="21">
        <f t="shared" si="112"/>
        <v>460</v>
      </c>
      <c r="R169" s="21">
        <f t="shared" si="112"/>
        <v>920</v>
      </c>
      <c r="S169" s="21">
        <f t="shared" si="112"/>
        <v>1840</v>
      </c>
      <c r="T169" s="21">
        <f t="shared" si="112"/>
        <v>3680</v>
      </c>
      <c r="U169" s="21">
        <f t="shared" si="112"/>
        <v>7360</v>
      </c>
      <c r="V169" s="21">
        <f t="shared" si="112"/>
        <v>14720</v>
      </c>
      <c r="W169" s="21">
        <f t="shared" si="112"/>
        <v>29440</v>
      </c>
      <c r="X169" s="21">
        <f t="shared" si="112"/>
        <v>58880</v>
      </c>
      <c r="Y169" s="21">
        <f t="shared" si="112"/>
        <v>117760</v>
      </c>
      <c r="Z169" s="21">
        <f t="shared" si="112"/>
        <v>235520</v>
      </c>
      <c r="AA169" s="21">
        <f t="shared" si="112"/>
        <v>353280</v>
      </c>
      <c r="AB169" s="21">
        <f t="shared" si="112"/>
        <v>412160</v>
      </c>
      <c r="AC169" s="21">
        <f t="shared" si="112"/>
        <v>442777.60000000003</v>
      </c>
      <c r="AD169" s="21">
        <f t="shared" si="112"/>
        <v>471040</v>
      </c>
      <c r="AE169" s="21">
        <f t="shared" si="112"/>
        <v>942080</v>
      </c>
      <c r="AF169" s="21">
        <f t="shared" si="112"/>
        <v>1884160</v>
      </c>
      <c r="AG169" s="21">
        <f t="shared" si="112"/>
        <v>3768320</v>
      </c>
      <c r="AH169" s="21">
        <f t="shared" si="112"/>
        <v>7536640</v>
      </c>
      <c r="AI169" s="20">
        <f t="shared" si="112"/>
        <v>15073280</v>
      </c>
      <c r="AJ169" s="21">
        <f t="shared" si="112"/>
        <v>30146560</v>
      </c>
      <c r="AK169" s="21">
        <f t="shared" si="112"/>
        <v>60293120</v>
      </c>
      <c r="AL169" s="21">
        <f t="shared" si="112"/>
        <v>120586240</v>
      </c>
      <c r="AM169" s="21">
        <f t="shared" si="112"/>
        <v>152060130</v>
      </c>
      <c r="AN169" s="72">
        <f t="shared" si="112"/>
        <v>152060130</v>
      </c>
      <c r="AO169" s="45"/>
    </row>
    <row r="170" spans="1:41" x14ac:dyDescent="0.25">
      <c r="A170" s="48"/>
      <c r="B170" s="16"/>
      <c r="C170" s="16"/>
      <c r="D170" s="25"/>
      <c r="E170" s="46">
        <v>0.06</v>
      </c>
      <c r="F170" s="16"/>
      <c r="G170" s="16"/>
      <c r="H170" s="16"/>
      <c r="I170" s="16"/>
      <c r="J170" s="16"/>
      <c r="K170" s="16"/>
      <c r="L170" s="29">
        <f t="shared" ref="L170:AE170" si="113">L169*$E$170</f>
        <v>0.86249999999999993</v>
      </c>
      <c r="M170" s="30">
        <f t="shared" si="113"/>
        <v>1.7249999999999999</v>
      </c>
      <c r="N170" s="30">
        <f t="shared" si="113"/>
        <v>3.4499999999999997</v>
      </c>
      <c r="O170" s="30">
        <f t="shared" si="113"/>
        <v>6.8999999999999995</v>
      </c>
      <c r="P170" s="30">
        <f t="shared" si="113"/>
        <v>13.799999999999999</v>
      </c>
      <c r="Q170" s="30">
        <f t="shared" si="113"/>
        <v>27.599999999999998</v>
      </c>
      <c r="R170" s="30">
        <f t="shared" si="113"/>
        <v>55.199999999999996</v>
      </c>
      <c r="S170" s="30">
        <f t="shared" si="113"/>
        <v>110.39999999999999</v>
      </c>
      <c r="T170" s="30">
        <f t="shared" si="113"/>
        <v>220.79999999999998</v>
      </c>
      <c r="U170" s="30">
        <f t="shared" si="113"/>
        <v>441.59999999999997</v>
      </c>
      <c r="V170" s="30">
        <f t="shared" si="113"/>
        <v>883.19999999999993</v>
      </c>
      <c r="W170" s="30">
        <f t="shared" si="113"/>
        <v>1766.3999999999999</v>
      </c>
      <c r="X170" s="30">
        <f t="shared" si="113"/>
        <v>3532.7999999999997</v>
      </c>
      <c r="Y170" s="30">
        <f t="shared" si="113"/>
        <v>7065.5999999999995</v>
      </c>
      <c r="Z170" s="30">
        <f t="shared" si="113"/>
        <v>14131.199999999999</v>
      </c>
      <c r="AA170" s="30">
        <f t="shared" ref="AA170:AC170" si="114">AA169*$E$170</f>
        <v>21196.799999999999</v>
      </c>
      <c r="AB170" s="30">
        <f t="shared" si="114"/>
        <v>24729.599999999999</v>
      </c>
      <c r="AC170" s="30">
        <f t="shared" si="114"/>
        <v>26566.656000000003</v>
      </c>
      <c r="AD170" s="30">
        <f t="shared" si="113"/>
        <v>28262.399999999998</v>
      </c>
      <c r="AE170" s="30">
        <f t="shared" si="113"/>
        <v>56524.799999999996</v>
      </c>
      <c r="AF170" s="30">
        <f>AF169*$E$170</f>
        <v>113049.59999999999</v>
      </c>
      <c r="AG170" s="30">
        <f>AG169*$E$170</f>
        <v>226099.19999999998</v>
      </c>
      <c r="AH170" s="30">
        <f>AH169*$E$170</f>
        <v>452198.39999999997</v>
      </c>
      <c r="AI170" s="29">
        <f t="shared" ref="AI170:AN170" si="115">AI169*$E$170</f>
        <v>904396.79999999993</v>
      </c>
      <c r="AJ170" s="30">
        <f t="shared" si="115"/>
        <v>1808793.5999999999</v>
      </c>
      <c r="AK170" s="30">
        <f t="shared" si="115"/>
        <v>3617587.1999999997</v>
      </c>
      <c r="AL170" s="30">
        <f t="shared" si="115"/>
        <v>7235174.3999999994</v>
      </c>
      <c r="AM170" s="30">
        <f t="shared" si="115"/>
        <v>9123607.7999999989</v>
      </c>
      <c r="AN170" s="71">
        <f t="shared" si="115"/>
        <v>9123607.7999999989</v>
      </c>
      <c r="AO170" s="45"/>
    </row>
    <row r="171" spans="1:41" x14ac:dyDescent="0.25">
      <c r="A171" s="48" t="s">
        <v>8</v>
      </c>
      <c r="B171" s="24">
        <v>4.3899999999999998E-3</v>
      </c>
      <c r="C171" s="10">
        <f>$B$94 * B171</f>
        <v>1451182.5449999999</v>
      </c>
      <c r="D171" s="47"/>
      <c r="E171" s="16"/>
      <c r="F171" s="16"/>
      <c r="G171" s="16"/>
      <c r="H171" s="16"/>
      <c r="I171" s="16"/>
      <c r="J171" s="16"/>
      <c r="K171" s="16"/>
      <c r="L171" s="20">
        <f t="shared" ref="L171:AN171" si="116">L$108*$B$171</f>
        <v>0.13718749999999999</v>
      </c>
      <c r="M171" s="21">
        <f t="shared" si="116"/>
        <v>0.27437499999999998</v>
      </c>
      <c r="N171" s="21">
        <f t="shared" si="116"/>
        <v>0.54874999999999996</v>
      </c>
      <c r="O171" s="21">
        <f t="shared" si="116"/>
        <v>1.0974999999999999</v>
      </c>
      <c r="P171" s="21">
        <f t="shared" si="116"/>
        <v>2.1949999999999998</v>
      </c>
      <c r="Q171" s="21">
        <f t="shared" si="116"/>
        <v>4.3899999999999997</v>
      </c>
      <c r="R171" s="21">
        <f t="shared" si="116"/>
        <v>8.7799999999999994</v>
      </c>
      <c r="S171" s="21">
        <f t="shared" si="116"/>
        <v>17.559999999999999</v>
      </c>
      <c r="T171" s="21">
        <f t="shared" si="116"/>
        <v>35.119999999999997</v>
      </c>
      <c r="U171" s="21">
        <f t="shared" si="116"/>
        <v>70.239999999999995</v>
      </c>
      <c r="V171" s="21">
        <f t="shared" si="116"/>
        <v>140.47999999999999</v>
      </c>
      <c r="W171" s="21">
        <f t="shared" si="116"/>
        <v>280.95999999999998</v>
      </c>
      <c r="X171" s="21">
        <f t="shared" si="116"/>
        <v>561.91999999999996</v>
      </c>
      <c r="Y171" s="21">
        <f t="shared" si="116"/>
        <v>1123.8399999999999</v>
      </c>
      <c r="Z171" s="21">
        <f t="shared" si="116"/>
        <v>2247.6799999999998</v>
      </c>
      <c r="AA171" s="21">
        <f t="shared" si="116"/>
        <v>3371.52</v>
      </c>
      <c r="AB171" s="21">
        <f t="shared" si="116"/>
        <v>3933.4399999999996</v>
      </c>
      <c r="AC171" s="21">
        <f t="shared" si="116"/>
        <v>4225.6383999999998</v>
      </c>
      <c r="AD171" s="21">
        <f t="shared" si="116"/>
        <v>4495.3599999999997</v>
      </c>
      <c r="AE171" s="21">
        <f t="shared" si="116"/>
        <v>8990.7199999999993</v>
      </c>
      <c r="AF171" s="21">
        <f t="shared" si="116"/>
        <v>17981.439999999999</v>
      </c>
      <c r="AG171" s="21">
        <f t="shared" si="116"/>
        <v>35962.879999999997</v>
      </c>
      <c r="AH171" s="21">
        <f t="shared" si="116"/>
        <v>71925.759999999995</v>
      </c>
      <c r="AI171" s="20">
        <f t="shared" si="116"/>
        <v>143851.51999999999</v>
      </c>
      <c r="AJ171" s="21">
        <f t="shared" si="116"/>
        <v>287703.03999999998</v>
      </c>
      <c r="AK171" s="21">
        <f t="shared" si="116"/>
        <v>575406.07999999996</v>
      </c>
      <c r="AL171" s="21">
        <f t="shared" si="116"/>
        <v>1150812.1599999999</v>
      </c>
      <c r="AM171" s="21">
        <f t="shared" si="116"/>
        <v>1451182.5449999999</v>
      </c>
      <c r="AN171" s="72">
        <f t="shared" si="116"/>
        <v>1451182.5449999999</v>
      </c>
      <c r="AO171" s="45"/>
    </row>
    <row r="172" spans="1:41" x14ac:dyDescent="0.25">
      <c r="A172" s="48"/>
      <c r="B172" s="16"/>
      <c r="C172" s="16"/>
      <c r="D172" s="25"/>
      <c r="E172" s="46">
        <v>5.6000000000000001E-2</v>
      </c>
      <c r="F172" s="16"/>
      <c r="G172" s="16"/>
      <c r="H172" s="16"/>
      <c r="I172" s="16"/>
      <c r="J172" s="16"/>
      <c r="K172" s="16"/>
      <c r="L172" s="29">
        <f t="shared" ref="L172:AE172" si="117">L171*$E$172</f>
        <v>7.6824999999999992E-3</v>
      </c>
      <c r="M172" s="30">
        <f t="shared" si="117"/>
        <v>1.5364999999999998E-2</v>
      </c>
      <c r="N172" s="30">
        <f t="shared" si="117"/>
        <v>3.0729999999999997E-2</v>
      </c>
      <c r="O172" s="30">
        <f t="shared" si="117"/>
        <v>6.1459999999999994E-2</v>
      </c>
      <c r="P172" s="30">
        <f t="shared" si="117"/>
        <v>0.12291999999999999</v>
      </c>
      <c r="Q172" s="30">
        <f t="shared" si="117"/>
        <v>0.24583999999999998</v>
      </c>
      <c r="R172" s="30">
        <f t="shared" si="117"/>
        <v>0.49167999999999995</v>
      </c>
      <c r="S172" s="30">
        <f t="shared" si="117"/>
        <v>0.9833599999999999</v>
      </c>
      <c r="T172" s="30">
        <f t="shared" si="117"/>
        <v>1.9667199999999998</v>
      </c>
      <c r="U172" s="30">
        <f t="shared" si="117"/>
        <v>3.9334399999999996</v>
      </c>
      <c r="V172" s="30">
        <f t="shared" si="117"/>
        <v>7.8668799999999992</v>
      </c>
      <c r="W172" s="30">
        <f t="shared" si="117"/>
        <v>15.733759999999998</v>
      </c>
      <c r="X172" s="30">
        <f t="shared" si="117"/>
        <v>31.467519999999997</v>
      </c>
      <c r="Y172" s="30">
        <f t="shared" si="117"/>
        <v>62.935039999999994</v>
      </c>
      <c r="Z172" s="30">
        <f t="shared" si="117"/>
        <v>125.87007999999999</v>
      </c>
      <c r="AA172" s="30">
        <f t="shared" ref="AA172:AC172" si="118">AA171*$E$172</f>
        <v>188.80512000000002</v>
      </c>
      <c r="AB172" s="30">
        <f t="shared" si="118"/>
        <v>220.27264</v>
      </c>
      <c r="AC172" s="30">
        <f t="shared" si="118"/>
        <v>236.63575040000001</v>
      </c>
      <c r="AD172" s="30">
        <f t="shared" si="117"/>
        <v>251.74015999999997</v>
      </c>
      <c r="AE172" s="30">
        <f t="shared" si="117"/>
        <v>503.48031999999995</v>
      </c>
      <c r="AF172" s="30">
        <f>AF171*$E$172</f>
        <v>1006.9606399999999</v>
      </c>
      <c r="AG172" s="30">
        <f>AG171*$E$172</f>
        <v>2013.9212799999998</v>
      </c>
      <c r="AH172" s="30">
        <f>AH171*$E$172</f>
        <v>4027.8425599999996</v>
      </c>
      <c r="AI172" s="29">
        <f t="shared" ref="AI172:AN172" si="119">AI171*$E$172</f>
        <v>8055.6851199999992</v>
      </c>
      <c r="AJ172" s="30">
        <f t="shared" si="119"/>
        <v>16111.370239999998</v>
      </c>
      <c r="AK172" s="30">
        <f t="shared" si="119"/>
        <v>32222.740479999997</v>
      </c>
      <c r="AL172" s="30">
        <f t="shared" si="119"/>
        <v>64445.480959999994</v>
      </c>
      <c r="AM172" s="30">
        <f t="shared" si="119"/>
        <v>81266.222519999996</v>
      </c>
      <c r="AN172" s="71">
        <f t="shared" si="119"/>
        <v>81266.222519999996</v>
      </c>
      <c r="AO172" s="45"/>
    </row>
    <row r="173" spans="1:41" x14ac:dyDescent="0.25">
      <c r="A173" s="48" t="s">
        <v>9</v>
      </c>
      <c r="B173" s="24">
        <v>0.155</v>
      </c>
      <c r="C173" s="10">
        <f>$B$94 * B173</f>
        <v>51237652.5</v>
      </c>
      <c r="D173" s="47"/>
      <c r="E173" s="16"/>
      <c r="F173" s="16"/>
      <c r="G173" s="16"/>
      <c r="H173" s="16"/>
      <c r="I173" s="16"/>
      <c r="J173" s="16"/>
      <c r="K173" s="16"/>
      <c r="L173" s="20">
        <f t="shared" ref="L173:AN173" si="120">L$108*$B$173</f>
        <v>4.84375</v>
      </c>
      <c r="M173" s="21">
        <f t="shared" si="120"/>
        <v>9.6875</v>
      </c>
      <c r="N173" s="21">
        <f t="shared" si="120"/>
        <v>19.375</v>
      </c>
      <c r="O173" s="21">
        <f t="shared" si="120"/>
        <v>38.75</v>
      </c>
      <c r="P173" s="21">
        <f t="shared" si="120"/>
        <v>77.5</v>
      </c>
      <c r="Q173" s="21">
        <f t="shared" si="120"/>
        <v>155</v>
      </c>
      <c r="R173" s="21">
        <f t="shared" si="120"/>
        <v>310</v>
      </c>
      <c r="S173" s="21">
        <f t="shared" si="120"/>
        <v>620</v>
      </c>
      <c r="T173" s="21">
        <f t="shared" si="120"/>
        <v>1240</v>
      </c>
      <c r="U173" s="21">
        <f t="shared" si="120"/>
        <v>2480</v>
      </c>
      <c r="V173" s="21">
        <f t="shared" si="120"/>
        <v>4960</v>
      </c>
      <c r="W173" s="21">
        <f t="shared" si="120"/>
        <v>9920</v>
      </c>
      <c r="X173" s="21">
        <f t="shared" si="120"/>
        <v>19840</v>
      </c>
      <c r="Y173" s="21">
        <f t="shared" si="120"/>
        <v>39680</v>
      </c>
      <c r="Z173" s="21">
        <f t="shared" si="120"/>
        <v>79360</v>
      </c>
      <c r="AA173" s="21">
        <f t="shared" si="120"/>
        <v>119040</v>
      </c>
      <c r="AB173" s="21">
        <f t="shared" si="120"/>
        <v>138880</v>
      </c>
      <c r="AC173" s="21">
        <f t="shared" si="120"/>
        <v>149196.79999999999</v>
      </c>
      <c r="AD173" s="21">
        <f t="shared" si="120"/>
        <v>158720</v>
      </c>
      <c r="AE173" s="21">
        <f t="shared" si="120"/>
        <v>317440</v>
      </c>
      <c r="AF173" s="21">
        <f t="shared" si="120"/>
        <v>634880</v>
      </c>
      <c r="AG173" s="21">
        <f t="shared" si="120"/>
        <v>1269760</v>
      </c>
      <c r="AH173" s="21">
        <f t="shared" si="120"/>
        <v>2539520</v>
      </c>
      <c r="AI173" s="20">
        <f t="shared" si="120"/>
        <v>5079040</v>
      </c>
      <c r="AJ173" s="21">
        <f t="shared" si="120"/>
        <v>10158080</v>
      </c>
      <c r="AK173" s="21">
        <f t="shared" si="120"/>
        <v>20316160</v>
      </c>
      <c r="AL173" s="21">
        <f t="shared" si="120"/>
        <v>40632320</v>
      </c>
      <c r="AM173" s="21">
        <f t="shared" si="120"/>
        <v>51237652.5</v>
      </c>
      <c r="AN173" s="72">
        <f t="shared" si="120"/>
        <v>51237652.5</v>
      </c>
      <c r="AO173" s="45"/>
    </row>
    <row r="174" spans="1:41" x14ac:dyDescent="0.25">
      <c r="A174" s="37"/>
      <c r="B174" s="39"/>
      <c r="C174" s="39"/>
      <c r="D174" s="55"/>
      <c r="E174" s="56" t="s">
        <v>10</v>
      </c>
      <c r="F174" s="39"/>
      <c r="G174" s="39"/>
      <c r="H174" s="39"/>
      <c r="I174" s="39"/>
      <c r="J174" s="39"/>
      <c r="K174" s="39"/>
      <c r="L174" s="31" t="s">
        <v>10</v>
      </c>
      <c r="M174" s="32" t="s">
        <v>10</v>
      </c>
      <c r="N174" s="32" t="s">
        <v>10</v>
      </c>
      <c r="O174" s="32" t="s">
        <v>10</v>
      </c>
      <c r="P174" s="32" t="s">
        <v>10</v>
      </c>
      <c r="Q174" s="32" t="s">
        <v>10</v>
      </c>
      <c r="R174" s="32" t="s">
        <v>10</v>
      </c>
      <c r="S174" s="32" t="s">
        <v>10</v>
      </c>
      <c r="T174" s="32" t="s">
        <v>10</v>
      </c>
      <c r="U174" s="32" t="s">
        <v>10</v>
      </c>
      <c r="V174" s="32" t="s">
        <v>10</v>
      </c>
      <c r="W174" s="32" t="s">
        <v>10</v>
      </c>
      <c r="X174" s="32" t="s">
        <v>10</v>
      </c>
      <c r="Y174" s="32" t="s">
        <v>10</v>
      </c>
      <c r="Z174" s="32" t="s">
        <v>10</v>
      </c>
      <c r="AA174" s="32" t="s">
        <v>10</v>
      </c>
      <c r="AB174" s="32" t="s">
        <v>10</v>
      </c>
      <c r="AC174" s="32" t="s">
        <v>10</v>
      </c>
      <c r="AD174" s="32" t="s">
        <v>10</v>
      </c>
      <c r="AE174" s="32" t="s">
        <v>10</v>
      </c>
      <c r="AF174" s="32" t="s">
        <v>10</v>
      </c>
      <c r="AG174" s="32" t="s">
        <v>10</v>
      </c>
      <c r="AH174" s="32" t="s">
        <v>10</v>
      </c>
      <c r="AI174" s="29" t="s">
        <v>10</v>
      </c>
      <c r="AJ174" s="30" t="s">
        <v>10</v>
      </c>
      <c r="AK174" s="30" t="s">
        <v>10</v>
      </c>
      <c r="AL174" s="30" t="s">
        <v>10</v>
      </c>
      <c r="AM174" s="30" t="s">
        <v>10</v>
      </c>
      <c r="AN174" s="71" t="s">
        <v>10</v>
      </c>
      <c r="AO174" s="45"/>
    </row>
    <row r="175" spans="1:41" x14ac:dyDescent="0.25">
      <c r="A175" s="41"/>
      <c r="B175" s="16"/>
      <c r="C175" s="16"/>
      <c r="D175" s="47"/>
      <c r="E175" s="16"/>
      <c r="F175" s="16"/>
      <c r="G175" s="16"/>
      <c r="H175" s="16"/>
      <c r="I175" s="16"/>
      <c r="J175" s="16"/>
      <c r="K175" s="16"/>
      <c r="L175" s="20">
        <f>SUM(L163,L165,L167,L169,L171,L173)</f>
        <v>38.105937500000003</v>
      </c>
      <c r="M175" s="21">
        <f t="shared" ref="M175:AE175" si="121">SUM(M163,M165,M167,M169,M171,M173)</f>
        <v>76.211875000000006</v>
      </c>
      <c r="N175" s="21">
        <f t="shared" si="121"/>
        <v>152.42375000000001</v>
      </c>
      <c r="O175" s="21">
        <f t="shared" si="121"/>
        <v>304.84750000000003</v>
      </c>
      <c r="P175" s="21">
        <f t="shared" si="121"/>
        <v>609.69500000000005</v>
      </c>
      <c r="Q175" s="21">
        <f t="shared" si="121"/>
        <v>1219.3900000000001</v>
      </c>
      <c r="R175" s="21">
        <f>SUM(R163,R165,R167,R169,R171,R173)</f>
        <v>2438.7800000000002</v>
      </c>
      <c r="S175" s="21">
        <f t="shared" si="121"/>
        <v>4877.5600000000004</v>
      </c>
      <c r="T175" s="21">
        <f t="shared" si="121"/>
        <v>9755.1200000000008</v>
      </c>
      <c r="U175" s="21">
        <f t="shared" si="121"/>
        <v>19510.240000000002</v>
      </c>
      <c r="V175" s="21">
        <f t="shared" si="121"/>
        <v>39020.480000000003</v>
      </c>
      <c r="W175" s="21">
        <f t="shared" si="121"/>
        <v>78040.960000000006</v>
      </c>
      <c r="X175" s="21">
        <f t="shared" si="121"/>
        <v>156081.92000000001</v>
      </c>
      <c r="Y175" s="21">
        <f t="shared" si="121"/>
        <v>312163.84000000003</v>
      </c>
      <c r="Z175" s="21">
        <f t="shared" si="121"/>
        <v>624327.68000000005</v>
      </c>
      <c r="AA175" s="21">
        <f t="shared" ref="AA175:AC175" si="122">SUM(AA163,AA165,AA167,AA169,AA171,AA173)</f>
        <v>936491.52000000002</v>
      </c>
      <c r="AB175" s="21">
        <f t="shared" si="122"/>
        <v>1092573.44</v>
      </c>
      <c r="AC175" s="21">
        <f t="shared" si="122"/>
        <v>1173736.0384000002</v>
      </c>
      <c r="AD175" s="21">
        <f t="shared" si="121"/>
        <v>1248655.3600000001</v>
      </c>
      <c r="AE175" s="21">
        <f t="shared" si="121"/>
        <v>2497310.7200000002</v>
      </c>
      <c r="AF175" s="21">
        <f t="shared" ref="AF175:AH176" si="123">SUM(AF163,AF165,AF167,AF169,AF171,AF173)</f>
        <v>4994621.4400000004</v>
      </c>
      <c r="AG175" s="21">
        <f t="shared" si="123"/>
        <v>9989242.8800000008</v>
      </c>
      <c r="AH175" s="21">
        <f t="shared" si="123"/>
        <v>19978485.760000002</v>
      </c>
      <c r="AI175" s="18">
        <f t="shared" ref="AI175:AN175" si="124">SUM(AI163,AI165,AI167,AI169,AI171,AI173)</f>
        <v>39956971.520000003</v>
      </c>
      <c r="AJ175" s="19">
        <f t="shared" si="124"/>
        <v>79913943.040000007</v>
      </c>
      <c r="AK175" s="19">
        <f t="shared" si="124"/>
        <v>159827886.08000001</v>
      </c>
      <c r="AL175" s="19">
        <f t="shared" si="124"/>
        <v>319655772.16000003</v>
      </c>
      <c r="AM175" s="19">
        <f t="shared" si="124"/>
        <v>403088265.04500002</v>
      </c>
      <c r="AN175" s="60">
        <f t="shared" si="124"/>
        <v>403088265.04500002</v>
      </c>
      <c r="AO175" s="45"/>
    </row>
    <row r="176" spans="1:41" x14ac:dyDescent="0.25">
      <c r="A176" s="37" t="s">
        <v>40</v>
      </c>
      <c r="B176" s="39"/>
      <c r="C176" s="39"/>
      <c r="D176" s="39"/>
      <c r="E176" s="39"/>
      <c r="F176" s="39"/>
      <c r="G176" s="39"/>
      <c r="H176" s="39"/>
      <c r="I176" s="39"/>
      <c r="J176" s="39"/>
      <c r="K176" s="39"/>
      <c r="L176" s="31">
        <f>SUM(L164,L166,L168,L170,L172,L174)</f>
        <v>2.5650575</v>
      </c>
      <c r="M176" s="32">
        <f t="shared" ref="M176:AE176" si="125">SUM(M164,M166,M168,M170,M172,M174)</f>
        <v>5.130115</v>
      </c>
      <c r="N176" s="32">
        <f t="shared" si="125"/>
        <v>10.26023</v>
      </c>
      <c r="O176" s="32">
        <f t="shared" si="125"/>
        <v>20.52046</v>
      </c>
      <c r="P176" s="32">
        <f t="shared" si="125"/>
        <v>41.04092</v>
      </c>
      <c r="Q176" s="32">
        <f t="shared" si="125"/>
        <v>82.08184</v>
      </c>
      <c r="R176" s="32">
        <f t="shared" si="125"/>
        <v>164.16368</v>
      </c>
      <c r="S176" s="32">
        <f t="shared" si="125"/>
        <v>328.32736</v>
      </c>
      <c r="T176" s="32">
        <f t="shared" si="125"/>
        <v>656.65472</v>
      </c>
      <c r="U176" s="32">
        <f t="shared" si="125"/>
        <v>1313.30944</v>
      </c>
      <c r="V176" s="32">
        <f t="shared" si="125"/>
        <v>2626.61888</v>
      </c>
      <c r="W176" s="32">
        <f t="shared" si="125"/>
        <v>5253.23776</v>
      </c>
      <c r="X176" s="32">
        <f t="shared" si="125"/>
        <v>10506.47552</v>
      </c>
      <c r="Y176" s="32">
        <f t="shared" si="125"/>
        <v>21012.95104</v>
      </c>
      <c r="Z176" s="32">
        <f t="shared" si="125"/>
        <v>42025.90208</v>
      </c>
      <c r="AA176" s="32">
        <f t="shared" ref="AA176:AC176" si="126">SUM(AA164,AA166,AA168,AA170,AA172,AA174)</f>
        <v>63038.853119999992</v>
      </c>
      <c r="AB176" s="32">
        <f t="shared" si="126"/>
        <v>73545.328639999992</v>
      </c>
      <c r="AC176" s="32">
        <f t="shared" si="126"/>
        <v>79008.695910400013</v>
      </c>
      <c r="AD176" s="32">
        <f t="shared" si="125"/>
        <v>84051.80416</v>
      </c>
      <c r="AE176" s="32">
        <f t="shared" si="125"/>
        <v>168103.60832</v>
      </c>
      <c r="AF176" s="32">
        <f t="shared" si="123"/>
        <v>336207.21664</v>
      </c>
      <c r="AG176" s="32">
        <f t="shared" si="123"/>
        <v>672414.43328</v>
      </c>
      <c r="AH176" s="32">
        <f t="shared" si="123"/>
        <v>1344828.86656</v>
      </c>
      <c r="AI176" s="31">
        <f t="shared" ref="AI176:AN176" si="127">SUM(AI164,AI166,AI168,AI170,AI172,AI174)</f>
        <v>2689657.73312</v>
      </c>
      <c r="AJ176" s="32">
        <f t="shared" si="127"/>
        <v>5379315.46624</v>
      </c>
      <c r="AK176" s="32">
        <f t="shared" si="127"/>
        <v>10758630.93248</v>
      </c>
      <c r="AL176" s="32">
        <f t="shared" si="127"/>
        <v>21517261.86496</v>
      </c>
      <c r="AM176" s="32">
        <f t="shared" si="127"/>
        <v>27133424.480520003</v>
      </c>
      <c r="AN176" s="73">
        <f t="shared" si="127"/>
        <v>27133424.480520003</v>
      </c>
      <c r="AO176" s="45"/>
    </row>
  </sheetData>
  <conditionalFormatting sqref="AO119 L119:AM119">
    <cfRule type="cellIs" dxfId="21" priority="31" operator="greaterThan">
      <formula>$C$98</formula>
    </cfRule>
  </conditionalFormatting>
  <conditionalFormatting sqref="L121:AM121">
    <cfRule type="cellIs" dxfId="20" priority="30" operator="greaterThan">
      <formula>$C$99</formula>
    </cfRule>
  </conditionalFormatting>
  <conditionalFormatting sqref="L140:AN140">
    <cfRule type="cellIs" dxfId="19" priority="29" operator="greaterThan">
      <formula>$C$140</formula>
    </cfRule>
  </conditionalFormatting>
  <conditionalFormatting sqref="L142:AN142">
    <cfRule type="cellIs" dxfId="18" priority="28" operator="greaterThan">
      <formula>$C$142</formula>
    </cfRule>
  </conditionalFormatting>
  <conditionalFormatting sqref="L144:AN144">
    <cfRule type="cellIs" dxfId="17" priority="27" operator="greaterThan">
      <formula>$C$144</formula>
    </cfRule>
  </conditionalFormatting>
  <conditionalFormatting sqref="L146:AN146">
    <cfRule type="cellIs" dxfId="16" priority="19" operator="greaterThan">
      <formula>$C$146</formula>
    </cfRule>
  </conditionalFormatting>
  <conditionalFormatting sqref="L148:AN148">
    <cfRule type="cellIs" dxfId="15" priority="18" operator="greaterThan">
      <formula>$C$148</formula>
    </cfRule>
  </conditionalFormatting>
  <conditionalFormatting sqref="L150:AN150">
    <cfRule type="cellIs" dxfId="14" priority="17" operator="greaterThan">
      <formula>$C$150</formula>
    </cfRule>
  </conditionalFormatting>
  <conditionalFormatting sqref="L152:AN152">
    <cfRule type="cellIs" dxfId="13" priority="16" operator="greaterThan">
      <formula>$C$152</formula>
    </cfRule>
  </conditionalFormatting>
  <conditionalFormatting sqref="L154:AN154">
    <cfRule type="cellIs" dxfId="12" priority="15" operator="greaterThan">
      <formula>$C$154</formula>
    </cfRule>
  </conditionalFormatting>
  <conditionalFormatting sqref="L156:AN156">
    <cfRule type="cellIs" dxfId="11" priority="14" operator="greaterThan">
      <formula>$C$156</formula>
    </cfRule>
  </conditionalFormatting>
  <conditionalFormatting sqref="L110:AN110">
    <cfRule type="cellIs" dxfId="10" priority="13" operator="equal">
      <formula>0</formula>
    </cfRule>
  </conditionalFormatting>
  <conditionalFormatting sqref="M121:AM121 L119:AM119 L117:AM117">
    <cfRule type="cellIs" dxfId="9" priority="12" operator="equal">
      <formula>0</formula>
    </cfRule>
  </conditionalFormatting>
  <conditionalFormatting sqref="D140">
    <cfRule type="cellIs" dxfId="8" priority="9" operator="greaterThan">
      <formula>$B$140</formula>
    </cfRule>
  </conditionalFormatting>
  <conditionalFormatting sqref="D142">
    <cfRule type="cellIs" dxfId="7" priority="8" operator="greaterThan">
      <formula>$B$142</formula>
    </cfRule>
  </conditionalFormatting>
  <conditionalFormatting sqref="D144">
    <cfRule type="cellIs" dxfId="6" priority="7" operator="greaterThan">
      <formula>$B$144</formula>
    </cfRule>
  </conditionalFormatting>
  <conditionalFormatting sqref="D146">
    <cfRule type="cellIs" dxfId="5" priority="6" operator="greaterThan">
      <formula>$B$146</formula>
    </cfRule>
  </conditionalFormatting>
  <conditionalFormatting sqref="D148">
    <cfRule type="cellIs" dxfId="4" priority="5" operator="greaterThan">
      <formula>$B$148</formula>
    </cfRule>
  </conditionalFormatting>
  <conditionalFormatting sqref="D150">
    <cfRule type="cellIs" dxfId="3" priority="4" operator="greaterThan">
      <formula>$B$150</formula>
    </cfRule>
  </conditionalFormatting>
  <conditionalFormatting sqref="D152">
    <cfRule type="cellIs" dxfId="2" priority="3" operator="greaterThan">
      <formula>$B$152</formula>
    </cfRule>
  </conditionalFormatting>
  <conditionalFormatting sqref="D154">
    <cfRule type="cellIs" dxfId="1" priority="2" operator="greaterThan">
      <formula>$B$154</formula>
    </cfRule>
  </conditionalFormatting>
  <conditionalFormatting sqref="D156">
    <cfRule type="cellIs" dxfId="0" priority="1" operator="greaterThan">
      <formula>$B$156</formula>
    </cfRule>
  </conditionalFormatting>
  <hyperlinks>
    <hyperlink ref="E139" r:id="rId1" location="case-fatality-rate-of-covid-19-by-age" xr:uid="{0058192C-B05A-45D2-8597-C1F9B3D9241E}"/>
    <hyperlink ref="E162" r:id="rId2" location="case-fatality-rate-of-covid-19-by-preexisting-health-conditions" xr:uid="{110A2613-24A6-4768-B90C-571B307D13E2}"/>
    <hyperlink ref="B96" r:id="rId3" display="https://cmmid.github.io/topics/covid19/severity/global_cfr_estimates.html" xr:uid="{478D393B-144B-447C-BE80-8DB4A6AAAE87}"/>
  </hyperlinks>
  <pageMargins left="0.7" right="0.7" top="0.75" bottom="0.75" header="0.3" footer="0.3"/>
  <pageSetup paperSize="9" orientation="portrait" horizontalDpi="0" verticalDpi="0"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R12" sqref="R12"/>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79" t="s">
        <v>119</v>
      </c>
      <c r="C3" s="163">
        <f>Projections!B94</f>
        <v>330565500</v>
      </c>
      <c r="J3" s="2"/>
    </row>
    <row r="4" spans="2:10" x14ac:dyDescent="0.25">
      <c r="B4" s="180" t="s">
        <v>136</v>
      </c>
      <c r="C4" s="163">
        <f>Projections!L108</f>
        <v>31.25</v>
      </c>
      <c r="J4" s="2"/>
    </row>
    <row r="5" spans="2:10" x14ac:dyDescent="0.25">
      <c r="B5" s="180" t="s">
        <v>137</v>
      </c>
      <c r="C5" s="161">
        <f>Projections!L107</f>
        <v>43882</v>
      </c>
      <c r="J5" s="2"/>
    </row>
    <row r="6" spans="2:10" x14ac:dyDescent="0.25">
      <c r="B6" s="180" t="s">
        <v>120</v>
      </c>
      <c r="C6" s="163">
        <v>763832</v>
      </c>
    </row>
    <row r="7" spans="2:10" x14ac:dyDescent="0.25">
      <c r="B7" s="180" t="s">
        <v>122</v>
      </c>
      <c r="C7" s="161">
        <f ca="1">NOW()</f>
        <v>43941.624748379632</v>
      </c>
    </row>
    <row r="8" spans="2:10" x14ac:dyDescent="0.25">
      <c r="B8" s="180" t="s">
        <v>138</v>
      </c>
      <c r="C8" s="162">
        <f ca="1">C7-C5</f>
        <v>59.624748379632365</v>
      </c>
    </row>
    <row r="9" spans="2:10" x14ac:dyDescent="0.25">
      <c r="B9" s="180" t="s">
        <v>121</v>
      </c>
      <c r="C9" s="164">
        <f ca="1">C8/(LOG(C6/C4)/LOG(2))</f>
        <v>4.090299245482373</v>
      </c>
      <c r="D9" t="s">
        <v>98</v>
      </c>
      <c r="F9" t="s">
        <v>139</v>
      </c>
    </row>
    <row r="10" spans="2:10" x14ac:dyDescent="0.25">
      <c r="B10" s="180" t="s">
        <v>126</v>
      </c>
      <c r="C10" s="163">
        <f>Projections!C98</f>
        <v>793357.2</v>
      </c>
    </row>
    <row r="11" spans="2:10" x14ac:dyDescent="0.25">
      <c r="B11" s="181" t="s">
        <v>127</v>
      </c>
      <c r="C11" s="168">
        <f>Projections!C99</f>
        <v>114706.22850000001</v>
      </c>
    </row>
    <row r="12" spans="2:10" s="69" customFormat="1" x14ac:dyDescent="0.25">
      <c r="B12" s="62" t="s">
        <v>167</v>
      </c>
      <c r="C12" s="169">
        <f>C6/Projections!B96</f>
        <v>6365266.666666667</v>
      </c>
    </row>
    <row r="13" spans="2:10" s="69" customFormat="1" x14ac:dyDescent="0.25">
      <c r="B13" s="48" t="s">
        <v>168</v>
      </c>
      <c r="C13" s="170">
        <f ca="1">(C4/Projections!B96)*(2^(((C7-21)-C5)/C9))</f>
        <v>181258.71473199321</v>
      </c>
    </row>
    <row r="14" spans="2:10" s="69" customFormat="1" x14ac:dyDescent="0.25">
      <c r="B14" s="49" t="s">
        <v>169</v>
      </c>
      <c r="C14" s="151">
        <f ca="1">C12-C13</f>
        <v>6184007.9519346738</v>
      </c>
      <c r="E14" s="166"/>
      <c r="F14" s="167" t="s">
        <v>143</v>
      </c>
      <c r="G14" s="165"/>
    </row>
    <row r="15" spans="2:10" x14ac:dyDescent="0.25">
      <c r="B15" s="4" t="s">
        <v>140</v>
      </c>
      <c r="C15" s="64">
        <f>C6*Projections!B100</f>
        <v>618703.92000000004</v>
      </c>
      <c r="I15" s="160"/>
    </row>
    <row r="16" spans="2:10" x14ac:dyDescent="0.25">
      <c r="B16" s="41" t="s">
        <v>150</v>
      </c>
      <c r="C16" s="83">
        <f ca="1">(C4*Projections!B100)*(2^(((C7-21)-C5)/C9))</f>
        <v>17618.347071949738</v>
      </c>
      <c r="I16" s="160"/>
    </row>
    <row r="17" spans="2:9" x14ac:dyDescent="0.25">
      <c r="B17" s="41" t="s">
        <v>141</v>
      </c>
      <c r="C17" s="83">
        <f ca="1">C15-C16</f>
        <v>601085.5729280503</v>
      </c>
      <c r="F17" t="s">
        <v>144</v>
      </c>
      <c r="I17" s="160"/>
    </row>
    <row r="18" spans="2:9" x14ac:dyDescent="0.25">
      <c r="B18" s="4" t="s">
        <v>146</v>
      </c>
      <c r="C18" s="64">
        <f>C6*Projections!B101</f>
        <v>106936.48000000001</v>
      </c>
    </row>
    <row r="19" spans="2:9" x14ac:dyDescent="0.25">
      <c r="B19" s="41" t="s">
        <v>151</v>
      </c>
      <c r="C19" s="83">
        <f ca="1">(C4*Projections!B101)*(2^(((C7-49)-C5)/C9))</f>
        <v>26.47999522866462</v>
      </c>
    </row>
    <row r="20" spans="2:9" x14ac:dyDescent="0.25">
      <c r="B20" s="41" t="s">
        <v>145</v>
      </c>
      <c r="C20" s="83">
        <f ca="1">C18-C19</f>
        <v>106910.00000477134</v>
      </c>
      <c r="F20" t="s">
        <v>149</v>
      </c>
    </row>
    <row r="21" spans="2:9" x14ac:dyDescent="0.25">
      <c r="B21" s="4" t="s">
        <v>147</v>
      </c>
      <c r="C21" s="64">
        <f>C6*Projections!B102</f>
        <v>38191.599999999999</v>
      </c>
      <c r="I21" s="160"/>
    </row>
    <row r="22" spans="2:9" x14ac:dyDescent="0.25">
      <c r="B22" s="41" t="s">
        <v>152</v>
      </c>
      <c r="C22" s="83">
        <f ca="1">(C4*Projections!B102)*(2^(((C7-49)-C5)/C9))</f>
        <v>9.4571411530945078</v>
      </c>
      <c r="I22" s="160"/>
    </row>
    <row r="23" spans="2:9" x14ac:dyDescent="0.25">
      <c r="B23" s="41" t="s">
        <v>148</v>
      </c>
      <c r="C23" s="83">
        <f ca="1">C21-C22</f>
        <v>38182.142858846906</v>
      </c>
      <c r="I23" s="160"/>
    </row>
    <row r="24" spans="2:9" x14ac:dyDescent="0.25">
      <c r="B24" s="4" t="s">
        <v>153</v>
      </c>
      <c r="C24" s="64">
        <f>C6*Projections!B103</f>
        <v>40483.095999999998</v>
      </c>
    </row>
    <row r="25" spans="2:9" x14ac:dyDescent="0.25">
      <c r="B25" s="37" t="s">
        <v>154</v>
      </c>
      <c r="C25" s="61">
        <f ca="1">(C4*Projections!B103)*(2^(((C7-42)-C5)/C9))</f>
        <v>32.827537437179416</v>
      </c>
      <c r="F25" t="s">
        <v>155</v>
      </c>
    </row>
    <row r="26" spans="2:9" x14ac:dyDescent="0.25">
      <c r="B26" s="41" t="s">
        <v>131</v>
      </c>
      <c r="C26" s="173">
        <f ca="1">C9*(LOG(C10/C21)/LOG(2))</f>
        <v>17.901780797902269</v>
      </c>
      <c r="D26" t="s">
        <v>98</v>
      </c>
      <c r="F26" s="69" t="s">
        <v>156</v>
      </c>
    </row>
    <row r="27" spans="2:9" x14ac:dyDescent="0.25">
      <c r="B27" s="37" t="s">
        <v>128</v>
      </c>
      <c r="C27" s="172">
        <f ca="1">C7+C26</f>
        <v>43959.526529177536</v>
      </c>
      <c r="F27" t="s">
        <v>157</v>
      </c>
    </row>
    <row r="28" spans="2:9" x14ac:dyDescent="0.25">
      <c r="B28" s="4" t="s">
        <v>132</v>
      </c>
      <c r="C28" s="171">
        <f ca="1">C9*(LOG(C11/C21)/LOG(2))</f>
        <v>6.4897361278922574</v>
      </c>
      <c r="D28" t="s">
        <v>98</v>
      </c>
    </row>
    <row r="29" spans="2:9" x14ac:dyDescent="0.25">
      <c r="B29" s="37" t="s">
        <v>129</v>
      </c>
      <c r="C29" s="172">
        <f ca="1">C7+C28</f>
        <v>43948.114484507525</v>
      </c>
      <c r="F29" t="s">
        <v>157</v>
      </c>
    </row>
    <row r="30" spans="2:9" x14ac:dyDescent="0.25">
      <c r="B30" s="4" t="s">
        <v>133</v>
      </c>
      <c r="C30" s="171">
        <f ca="1">C9*(LOG((C3*0.6)/C12)/LOG(2))</f>
        <v>20.294452473237495</v>
      </c>
      <c r="D30" t="s">
        <v>98</v>
      </c>
    </row>
    <row r="31" spans="2:9" x14ac:dyDescent="0.25">
      <c r="B31" s="37" t="s">
        <v>130</v>
      </c>
      <c r="C31" s="172">
        <f ca="1">C7+C30</f>
        <v>43961.91920085287</v>
      </c>
    </row>
    <row r="34" spans="2:6" x14ac:dyDescent="0.25">
      <c r="B34" s="4" t="s">
        <v>134</v>
      </c>
      <c r="C34" s="161">
        <f ca="1">C7+30</f>
        <v>43971.624748379632</v>
      </c>
      <c r="F34" t="s">
        <v>170</v>
      </c>
    </row>
    <row r="35" spans="2:6" x14ac:dyDescent="0.25">
      <c r="B35" s="41" t="s">
        <v>135</v>
      </c>
      <c r="C35" s="83">
        <f ca="1">C6*(2^((C34-C7)/C9))</f>
        <v>123276497.45927238</v>
      </c>
      <c r="F35" t="s">
        <v>142</v>
      </c>
    </row>
    <row r="36" spans="2:6" x14ac:dyDescent="0.25">
      <c r="B36" s="41" t="s">
        <v>193</v>
      </c>
      <c r="C36" s="83">
        <f ca="1">C35/Projections!B96</f>
        <v>1027304145.4939365</v>
      </c>
    </row>
    <row r="37" spans="2:6" x14ac:dyDescent="0.25">
      <c r="B37" s="41" t="s">
        <v>74</v>
      </c>
      <c r="C37" s="83">
        <f ca="1">C35*Projections!B100</f>
        <v>99853962.942010641</v>
      </c>
    </row>
    <row r="38" spans="2:6" x14ac:dyDescent="0.25">
      <c r="B38" s="41" t="s">
        <v>123</v>
      </c>
      <c r="C38" s="83">
        <f ca="1">C35*Projections!B101</f>
        <v>17258709.644298136</v>
      </c>
    </row>
    <row r="39" spans="2:6" x14ac:dyDescent="0.25">
      <c r="B39" s="41" t="s">
        <v>124</v>
      </c>
      <c r="C39" s="83">
        <f ca="1">C35*Projections!B102</f>
        <v>6163824.8729636194</v>
      </c>
    </row>
    <row r="40" spans="2:6" x14ac:dyDescent="0.25">
      <c r="B40" s="37" t="s">
        <v>125</v>
      </c>
      <c r="C40" s="61">
        <f ca="1">C35*Projections!B103</f>
        <v>6533654.3653414361</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2:D108"/>
  <sheetViews>
    <sheetView workbookViewId="0">
      <selection activeCell="H46" sqref="H46"/>
    </sheetView>
  </sheetViews>
  <sheetFormatPr defaultRowHeight="15" x14ac:dyDescent="0.25"/>
  <cols>
    <col min="1" max="1" width="10" bestFit="1" customWidth="1"/>
    <col min="2" max="2" width="19.5703125" bestFit="1" customWidth="1"/>
    <col min="3" max="3" width="10.140625" bestFit="1" customWidth="1"/>
  </cols>
  <sheetData>
    <row r="2" spans="1:4" x14ac:dyDescent="0.25">
      <c r="A2" s="293" t="s">
        <v>188</v>
      </c>
      <c r="B2" s="229"/>
      <c r="C2" s="76"/>
    </row>
    <row r="3" spans="1:4" x14ac:dyDescent="0.25">
      <c r="A3" s="293"/>
      <c r="B3" s="229" t="s">
        <v>189</v>
      </c>
      <c r="C3" s="76"/>
    </row>
    <row r="4" spans="1:4" x14ac:dyDescent="0.25">
      <c r="A4" s="292" t="s">
        <v>47</v>
      </c>
      <c r="B4" s="232">
        <v>308745538</v>
      </c>
      <c r="C4" s="76"/>
    </row>
    <row r="5" spans="1:4" x14ac:dyDescent="0.25">
      <c r="A5" s="292"/>
      <c r="B5" s="230">
        <v>1</v>
      </c>
      <c r="C5" s="76"/>
    </row>
    <row r="6" spans="1:4" x14ac:dyDescent="0.25">
      <c r="A6" s="292" t="s">
        <v>21</v>
      </c>
      <c r="B6" s="232">
        <v>20201362</v>
      </c>
      <c r="C6" s="76"/>
    </row>
    <row r="7" spans="1:4" x14ac:dyDescent="0.25">
      <c r="A7" s="292"/>
      <c r="B7" s="231">
        <f>B6/$B$4</f>
        <v>6.5430458139932701E-2</v>
      </c>
      <c r="C7" s="77"/>
    </row>
    <row r="8" spans="1:4" x14ac:dyDescent="0.25">
      <c r="A8" s="292" t="s">
        <v>22</v>
      </c>
      <c r="B8" s="232">
        <v>20348657</v>
      </c>
      <c r="C8" s="76"/>
    </row>
    <row r="9" spans="1:4" x14ac:dyDescent="0.25">
      <c r="A9" s="292"/>
      <c r="B9" s="231">
        <f>B8/$B$4</f>
        <v>6.590753386045696E-2</v>
      </c>
      <c r="C9" s="232">
        <f>B6+B8</f>
        <v>40550019</v>
      </c>
      <c r="D9" s="1">
        <f>C9/$B$4</f>
        <v>0.13133799200038965</v>
      </c>
    </row>
    <row r="10" spans="1:4" x14ac:dyDescent="0.25">
      <c r="A10" s="292" t="s">
        <v>23</v>
      </c>
      <c r="B10" s="232">
        <v>20677194</v>
      </c>
      <c r="C10" s="76"/>
    </row>
    <row r="11" spans="1:4" x14ac:dyDescent="0.25">
      <c r="A11" s="292"/>
      <c r="B11" s="231">
        <f>B10/$B$4</f>
        <v>6.6971636688074182E-2</v>
      </c>
      <c r="C11" s="76"/>
    </row>
    <row r="12" spans="1:4" x14ac:dyDescent="0.25">
      <c r="A12" s="292" t="s">
        <v>24</v>
      </c>
      <c r="B12" s="232">
        <v>22040343</v>
      </c>
      <c r="C12" s="76"/>
    </row>
    <row r="13" spans="1:4" x14ac:dyDescent="0.25">
      <c r="A13" s="292"/>
      <c r="B13" s="231">
        <f>B12/$B$4</f>
        <v>7.13867579844992E-2</v>
      </c>
      <c r="C13" s="232">
        <f>B10+B12</f>
        <v>42717537</v>
      </c>
      <c r="D13" s="1">
        <f>C13/$B$4</f>
        <v>0.13835839467257338</v>
      </c>
    </row>
    <row r="14" spans="1:4" x14ac:dyDescent="0.25">
      <c r="A14" s="292" t="s">
        <v>25</v>
      </c>
      <c r="B14" s="232">
        <v>21585999</v>
      </c>
      <c r="C14" s="76"/>
    </row>
    <row r="15" spans="1:4" x14ac:dyDescent="0.25">
      <c r="A15" s="292"/>
      <c r="B15" s="231">
        <f>B14/$B$4</f>
        <v>6.9915177203305853E-2</v>
      </c>
      <c r="C15" s="76"/>
    </row>
    <row r="16" spans="1:4" x14ac:dyDescent="0.25">
      <c r="A16" s="292" t="s">
        <v>26</v>
      </c>
      <c r="B16" s="232">
        <v>21101849</v>
      </c>
      <c r="C16" s="76"/>
    </row>
    <row r="17" spans="1:4" x14ac:dyDescent="0.25">
      <c r="A17" s="292"/>
      <c r="B17" s="231">
        <f>B16/$B$4</f>
        <v>6.8347057375125531E-2</v>
      </c>
      <c r="C17" s="232">
        <f>B14+B16</f>
        <v>42687848</v>
      </c>
      <c r="D17" s="1">
        <f>C17/$B$4</f>
        <v>0.13826223457843137</v>
      </c>
    </row>
    <row r="18" spans="1:4" x14ac:dyDescent="0.25">
      <c r="A18" s="292" t="s">
        <v>27</v>
      </c>
      <c r="B18" s="232">
        <v>19962099</v>
      </c>
      <c r="C18" s="76"/>
    </row>
    <row r="19" spans="1:4" x14ac:dyDescent="0.25">
      <c r="A19" s="292"/>
      <c r="B19" s="231">
        <f>B18/$B$4</f>
        <v>6.465550604977488E-2</v>
      </c>
      <c r="C19" s="77"/>
    </row>
    <row r="20" spans="1:4" x14ac:dyDescent="0.25">
      <c r="A20" s="292" t="s">
        <v>28</v>
      </c>
      <c r="B20" s="232">
        <v>20179642</v>
      </c>
      <c r="C20" s="76"/>
    </row>
    <row r="21" spans="1:4" x14ac:dyDescent="0.25">
      <c r="A21" s="292"/>
      <c r="B21" s="231">
        <f>B20/$B$4</f>
        <v>6.5360108945121009E-2</v>
      </c>
      <c r="C21" s="232">
        <f>B18+B20</f>
        <v>40141741</v>
      </c>
      <c r="D21" s="1">
        <f>C21/$B$4</f>
        <v>0.13001561499489589</v>
      </c>
    </row>
    <row r="22" spans="1:4" x14ac:dyDescent="0.25">
      <c r="A22" s="292" t="s">
        <v>29</v>
      </c>
      <c r="B22" s="232">
        <v>20890964</v>
      </c>
      <c r="C22" s="76"/>
    </row>
    <row r="23" spans="1:4" x14ac:dyDescent="0.25">
      <c r="A23" s="292"/>
      <c r="B23" s="231">
        <f>B22/$B$4</f>
        <v>6.7664019163898012E-2</v>
      </c>
      <c r="C23" s="76"/>
    </row>
    <row r="24" spans="1:4" x14ac:dyDescent="0.25">
      <c r="A24" s="292" t="s">
        <v>30</v>
      </c>
      <c r="B24" s="232">
        <v>22708591</v>
      </c>
      <c r="C24" s="76"/>
    </row>
    <row r="25" spans="1:4" x14ac:dyDescent="0.25">
      <c r="A25" s="292"/>
      <c r="B25" s="231">
        <f>B24/$B$4</f>
        <v>7.3551155255885833E-2</v>
      </c>
      <c r="C25" s="232">
        <f>B22+B24</f>
        <v>43599555</v>
      </c>
      <c r="D25" s="1">
        <f>C25/$B$4</f>
        <v>0.14121517441978385</v>
      </c>
    </row>
    <row r="26" spans="1:4" x14ac:dyDescent="0.25">
      <c r="A26" s="292" t="s">
        <v>31</v>
      </c>
      <c r="B26" s="232">
        <v>22298125</v>
      </c>
      <c r="C26" s="76"/>
    </row>
    <row r="27" spans="1:4" x14ac:dyDescent="0.25">
      <c r="A27" s="292"/>
      <c r="B27" s="231">
        <f>B26/$B$4</f>
        <v>7.2221691508299629E-2</v>
      </c>
      <c r="C27" s="76"/>
    </row>
    <row r="28" spans="1:4" x14ac:dyDescent="0.25">
      <c r="A28" s="292" t="s">
        <v>32</v>
      </c>
      <c r="B28" s="232">
        <v>19664805</v>
      </c>
      <c r="C28" s="76"/>
    </row>
    <row r="29" spans="1:4" x14ac:dyDescent="0.25">
      <c r="A29" s="292"/>
      <c r="B29" s="231">
        <f>B28/$B$4</f>
        <v>6.3692596587420158E-2</v>
      </c>
      <c r="C29" s="232">
        <f>B26+B28</f>
        <v>41962930</v>
      </c>
      <c r="D29" s="1">
        <f>C29/$B$4</f>
        <v>0.13591428809571979</v>
      </c>
    </row>
    <row r="30" spans="1:4" x14ac:dyDescent="0.25">
      <c r="A30" s="292" t="s">
        <v>33</v>
      </c>
      <c r="B30" s="232">
        <v>16817924</v>
      </c>
      <c r="C30" s="76"/>
    </row>
    <row r="31" spans="1:4" x14ac:dyDescent="0.25">
      <c r="A31" s="292"/>
      <c r="B31" s="231">
        <f>B30/$B$4</f>
        <v>5.4471796123576693E-2</v>
      </c>
      <c r="C31" s="77"/>
    </row>
    <row r="32" spans="1:4" x14ac:dyDescent="0.25">
      <c r="A32" s="292" t="s">
        <v>34</v>
      </c>
      <c r="B32" s="232">
        <v>12435263</v>
      </c>
      <c r="C32" s="76"/>
    </row>
    <row r="33" spans="1:4" x14ac:dyDescent="0.25">
      <c r="A33" s="292"/>
      <c r="B33" s="231">
        <f>B32/$B$4</f>
        <v>4.027673753782314E-2</v>
      </c>
      <c r="C33" s="232">
        <f>B30+B32</f>
        <v>29253187</v>
      </c>
      <c r="D33" s="1">
        <f>C33/$B$4</f>
        <v>9.4748533661399834E-2</v>
      </c>
    </row>
    <row r="34" spans="1:4" x14ac:dyDescent="0.25">
      <c r="A34" s="292" t="s">
        <v>35</v>
      </c>
      <c r="B34" s="232">
        <v>9278166</v>
      </c>
      <c r="C34" s="76"/>
    </row>
    <row r="35" spans="1:4" x14ac:dyDescent="0.25">
      <c r="A35" s="292"/>
      <c r="B35" s="231">
        <f>B34/$B$4</f>
        <v>3.0051174375190486E-2</v>
      </c>
      <c r="C35" s="76"/>
    </row>
    <row r="36" spans="1:4" x14ac:dyDescent="0.25">
      <c r="A36" s="292" t="s">
        <v>36</v>
      </c>
      <c r="B36" s="232">
        <v>7317795</v>
      </c>
      <c r="C36" s="76"/>
    </row>
    <row r="37" spans="1:4" x14ac:dyDescent="0.25">
      <c r="A37" s="292"/>
      <c r="B37" s="231">
        <f>B36/$B$4</f>
        <v>2.370170285667416E-2</v>
      </c>
      <c r="C37" s="232">
        <f>B34+B36</f>
        <v>16595961</v>
      </c>
      <c r="D37" s="1">
        <f>C37/$B$4</f>
        <v>5.3752877231864643E-2</v>
      </c>
    </row>
    <row r="38" spans="1:4" x14ac:dyDescent="0.25">
      <c r="A38" s="292" t="s">
        <v>37</v>
      </c>
      <c r="B38" s="232">
        <v>5743327</v>
      </c>
      <c r="C38" s="76"/>
    </row>
    <row r="39" spans="1:4" x14ac:dyDescent="0.25">
      <c r="A39" s="292"/>
      <c r="B39" s="231">
        <f>B38/$B$4</f>
        <v>1.8602137660690663E-2</v>
      </c>
      <c r="C39" s="76"/>
    </row>
    <row r="40" spans="1:4" x14ac:dyDescent="0.25">
      <c r="A40" s="292" t="s">
        <v>187</v>
      </c>
      <c r="B40" s="232">
        <v>5493433</v>
      </c>
      <c r="C40" s="76"/>
    </row>
    <row r="41" spans="1:4" x14ac:dyDescent="0.25">
      <c r="A41" s="292"/>
      <c r="B41" s="231">
        <f>B40/$B$4</f>
        <v>1.7792752684250939E-2</v>
      </c>
      <c r="C41" s="232">
        <f>B38+B40</f>
        <v>11236760</v>
      </c>
      <c r="D41" s="1">
        <f>C41/$B$4</f>
        <v>3.6394890344941602E-2</v>
      </c>
    </row>
    <row r="42" spans="1:4" x14ac:dyDescent="0.25">
      <c r="C42" s="76"/>
    </row>
    <row r="43" spans="1:4" x14ac:dyDescent="0.25">
      <c r="B43" s="2">
        <f>SUM(B6,B8,B10,B12,B14,B16,B18,B20,B22,B24,B26,B28,B30,B32,B34,B36,B38,B40)</f>
        <v>308745538</v>
      </c>
      <c r="C43" s="77"/>
    </row>
    <row r="44" spans="1:4" x14ac:dyDescent="0.25">
      <c r="B44" s="1">
        <f>SUM(B7,B9,B11,B13,B15,B17,B19,B21,B23,B25,B27,B29,B31,B33,B35,B37,B39,B41)</f>
        <v>0.99999999999999989</v>
      </c>
      <c r="C44" s="76"/>
    </row>
    <row r="45" spans="1:4" x14ac:dyDescent="0.25">
      <c r="C45" s="76"/>
    </row>
    <row r="46" spans="1:4" x14ac:dyDescent="0.25">
      <c r="C46" s="76"/>
    </row>
    <row r="47" spans="1:4" x14ac:dyDescent="0.25">
      <c r="C47" s="76"/>
    </row>
    <row r="48" spans="1:4" x14ac:dyDescent="0.25">
      <c r="C48" s="76"/>
    </row>
    <row r="49" spans="1:3" x14ac:dyDescent="0.25">
      <c r="A49" s="1"/>
      <c r="C49" s="77"/>
    </row>
    <row r="50" spans="1:3" x14ac:dyDescent="0.25">
      <c r="C50" s="76"/>
    </row>
    <row r="51" spans="1:3" x14ac:dyDescent="0.25">
      <c r="C51" s="76"/>
    </row>
    <row r="52" spans="1:3" x14ac:dyDescent="0.25">
      <c r="C52" s="76"/>
    </row>
    <row r="53" spans="1:3" x14ac:dyDescent="0.25">
      <c r="C53" s="76"/>
    </row>
    <row r="54" spans="1:3" x14ac:dyDescent="0.25">
      <c r="C54" s="76"/>
    </row>
    <row r="55" spans="1:3" x14ac:dyDescent="0.25">
      <c r="C55" s="77"/>
    </row>
    <row r="56" spans="1:3" x14ac:dyDescent="0.25">
      <c r="C56" s="76"/>
    </row>
    <row r="57" spans="1:3" x14ac:dyDescent="0.25">
      <c r="C57" s="76"/>
    </row>
    <row r="58" spans="1:3" x14ac:dyDescent="0.25">
      <c r="C58" s="76"/>
    </row>
    <row r="59" spans="1:3" x14ac:dyDescent="0.25">
      <c r="C59" s="76"/>
    </row>
    <row r="60" spans="1:3" x14ac:dyDescent="0.25">
      <c r="C60" s="76"/>
    </row>
    <row r="61" spans="1:3" x14ac:dyDescent="0.25">
      <c r="A61" s="1"/>
      <c r="C61" s="77"/>
    </row>
    <row r="62" spans="1:3" x14ac:dyDescent="0.25">
      <c r="C62" s="76"/>
    </row>
    <row r="63" spans="1:3" x14ac:dyDescent="0.25">
      <c r="C63" s="76"/>
    </row>
    <row r="64" spans="1:3" x14ac:dyDescent="0.25">
      <c r="C64" s="76"/>
    </row>
    <row r="65" spans="1:3" x14ac:dyDescent="0.25">
      <c r="C65" s="76"/>
    </row>
    <row r="66" spans="1:3" x14ac:dyDescent="0.25">
      <c r="C66" s="76"/>
    </row>
    <row r="67" spans="1:3" x14ac:dyDescent="0.25">
      <c r="C67" s="77"/>
    </row>
    <row r="68" spans="1:3" x14ac:dyDescent="0.25">
      <c r="C68" s="76"/>
    </row>
    <row r="69" spans="1:3" x14ac:dyDescent="0.25">
      <c r="C69" s="76"/>
    </row>
    <row r="70" spans="1:3" x14ac:dyDescent="0.25">
      <c r="C70" s="76"/>
    </row>
    <row r="71" spans="1:3" x14ac:dyDescent="0.25">
      <c r="C71" s="76"/>
    </row>
    <row r="72" spans="1:3" x14ac:dyDescent="0.25">
      <c r="C72" s="76"/>
    </row>
    <row r="73" spans="1:3" x14ac:dyDescent="0.25">
      <c r="A73" s="1"/>
      <c r="C73" s="77"/>
    </row>
    <row r="74" spans="1:3" x14ac:dyDescent="0.25">
      <c r="C74" s="76"/>
    </row>
    <row r="75" spans="1:3" x14ac:dyDescent="0.25">
      <c r="C75" s="76"/>
    </row>
    <row r="76" spans="1:3" x14ac:dyDescent="0.25">
      <c r="C76" s="76"/>
    </row>
    <row r="77" spans="1:3" x14ac:dyDescent="0.25">
      <c r="C77" s="76"/>
    </row>
    <row r="78" spans="1:3" x14ac:dyDescent="0.25">
      <c r="C78" s="76"/>
    </row>
    <row r="79" spans="1:3" x14ac:dyDescent="0.25">
      <c r="C79" s="77"/>
    </row>
    <row r="80" spans="1:3" x14ac:dyDescent="0.25">
      <c r="C80" s="76"/>
    </row>
    <row r="81" spans="1:3" x14ac:dyDescent="0.25">
      <c r="C81" s="76"/>
    </row>
    <row r="82" spans="1:3" x14ac:dyDescent="0.25">
      <c r="C82" s="76"/>
    </row>
    <row r="83" spans="1:3" x14ac:dyDescent="0.25">
      <c r="C83" s="76"/>
    </row>
    <row r="84" spans="1:3" x14ac:dyDescent="0.25">
      <c r="C84" s="76"/>
    </row>
    <row r="85" spans="1:3" x14ac:dyDescent="0.25">
      <c r="A85" s="1"/>
      <c r="C85" s="77"/>
    </row>
    <row r="86" spans="1:3" x14ac:dyDescent="0.25">
      <c r="C86" s="76"/>
    </row>
    <row r="87" spans="1:3" x14ac:dyDescent="0.25">
      <c r="C87" s="76"/>
    </row>
    <row r="88" spans="1:3" x14ac:dyDescent="0.25">
      <c r="C88" s="76"/>
    </row>
    <row r="89" spans="1:3" x14ac:dyDescent="0.25">
      <c r="C89" s="76"/>
    </row>
    <row r="90" spans="1:3" x14ac:dyDescent="0.25">
      <c r="C90" s="76"/>
    </row>
    <row r="91" spans="1:3" x14ac:dyDescent="0.25">
      <c r="C91" s="77"/>
    </row>
    <row r="92" spans="1:3" x14ac:dyDescent="0.25">
      <c r="C92" s="76"/>
    </row>
    <row r="93" spans="1:3" x14ac:dyDescent="0.25">
      <c r="C93" s="76"/>
    </row>
    <row r="94" spans="1:3" x14ac:dyDescent="0.25">
      <c r="C94" s="76"/>
    </row>
    <row r="95" spans="1:3" x14ac:dyDescent="0.25">
      <c r="C95" s="76"/>
    </row>
    <row r="96" spans="1:3" x14ac:dyDescent="0.25">
      <c r="C96" s="76"/>
    </row>
    <row r="97" spans="1:3" x14ac:dyDescent="0.25">
      <c r="A97" s="1"/>
      <c r="C97" s="77"/>
    </row>
    <row r="98" spans="1:3" x14ac:dyDescent="0.25">
      <c r="C98" s="76"/>
    </row>
    <row r="99" spans="1:3" x14ac:dyDescent="0.25">
      <c r="C99" s="76"/>
    </row>
    <row r="100" spans="1:3" x14ac:dyDescent="0.25">
      <c r="C100" s="76"/>
    </row>
    <row r="101" spans="1:3" x14ac:dyDescent="0.25">
      <c r="C101" s="76"/>
    </row>
    <row r="102" spans="1:3" x14ac:dyDescent="0.25">
      <c r="C102" s="76"/>
    </row>
    <row r="103" spans="1:3" x14ac:dyDescent="0.25">
      <c r="C103" s="77"/>
    </row>
    <row r="104" spans="1:3" x14ac:dyDescent="0.25">
      <c r="C104" s="77"/>
    </row>
    <row r="105" spans="1:3" x14ac:dyDescent="0.25">
      <c r="C105" s="77"/>
    </row>
    <row r="106" spans="1:3" x14ac:dyDescent="0.25">
      <c r="C106" s="77"/>
    </row>
    <row r="107" spans="1:3" x14ac:dyDescent="0.25">
      <c r="A107" s="1"/>
      <c r="C107" s="77"/>
    </row>
    <row r="108" spans="1:3" x14ac:dyDescent="0.25">
      <c r="C108" s="78"/>
    </row>
  </sheetData>
  <mergeCells count="20">
    <mergeCell ref="A24:A25"/>
    <mergeCell ref="A2:A3"/>
    <mergeCell ref="A4:A5"/>
    <mergeCell ref="A6:A7"/>
    <mergeCell ref="A8:A9"/>
    <mergeCell ref="A10:A11"/>
    <mergeCell ref="A12:A13"/>
    <mergeCell ref="A14:A15"/>
    <mergeCell ref="A16:A17"/>
    <mergeCell ref="A18:A19"/>
    <mergeCell ref="A20:A21"/>
    <mergeCell ref="A22:A23"/>
    <mergeCell ref="A38:A39"/>
    <mergeCell ref="A40:A41"/>
    <mergeCell ref="A26:A27"/>
    <mergeCell ref="A28:A29"/>
    <mergeCell ref="A30:A31"/>
    <mergeCell ref="A32:A33"/>
    <mergeCell ref="A34:A35"/>
    <mergeCell ref="A36:A37"/>
  </mergeCells>
  <hyperlinks>
    <hyperlink ref="A2:A3" r:id="rId1" location="Demographic_statistics" display="Age group" xr:uid="{7E03ABC8-8ADA-47B5-A8A5-FE4BE1629CC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C14"/>
  <sheetViews>
    <sheetView workbookViewId="0">
      <selection activeCell="H18" sqref="H18"/>
    </sheetView>
  </sheetViews>
  <sheetFormatPr defaultRowHeight="15" x14ac:dyDescent="0.25"/>
  <sheetData>
    <row r="1" spans="1:3" x14ac:dyDescent="0.25">
      <c r="A1" t="s">
        <v>190</v>
      </c>
    </row>
    <row r="2" spans="1:3" x14ac:dyDescent="0.25">
      <c r="A2" t="s">
        <v>191</v>
      </c>
    </row>
    <row r="3" spans="1:3" x14ac:dyDescent="0.25">
      <c r="A3" t="s">
        <v>44</v>
      </c>
      <c r="B3" t="s">
        <v>45</v>
      </c>
      <c r="C3" t="s">
        <v>46</v>
      </c>
    </row>
    <row r="4" spans="1:3" x14ac:dyDescent="0.25">
      <c r="A4" s="41" t="s">
        <v>12</v>
      </c>
      <c r="B4">
        <v>161</v>
      </c>
      <c r="C4" s="3">
        <f t="shared" ref="C4:C12" si="0">B4/$B$14</f>
        <v>2.8847876724601325E-2</v>
      </c>
    </row>
    <row r="5" spans="1:3" x14ac:dyDescent="0.25">
      <c r="A5" s="41" t="s">
        <v>13</v>
      </c>
      <c r="B5">
        <v>595</v>
      </c>
      <c r="C5" s="3">
        <f t="shared" si="0"/>
        <v>0.10661171833004837</v>
      </c>
    </row>
    <row r="6" spans="1:3" x14ac:dyDescent="0.25">
      <c r="A6" s="41" t="s">
        <v>14</v>
      </c>
      <c r="B6">
        <v>934</v>
      </c>
      <c r="C6" s="3">
        <f t="shared" si="0"/>
        <v>0.16735352087439526</v>
      </c>
    </row>
    <row r="7" spans="1:3" x14ac:dyDescent="0.25">
      <c r="A7" s="41" t="s">
        <v>15</v>
      </c>
      <c r="B7">
        <v>867</v>
      </c>
      <c r="C7" s="3">
        <f t="shared" si="0"/>
        <v>0.15534850385235621</v>
      </c>
    </row>
    <row r="8" spans="1:3" x14ac:dyDescent="0.25">
      <c r="A8" s="41" t="s">
        <v>16</v>
      </c>
      <c r="B8">
        <v>724</v>
      </c>
      <c r="C8" s="3">
        <f t="shared" si="0"/>
        <v>0.12972585558143701</v>
      </c>
    </row>
    <row r="9" spans="1:3" x14ac:dyDescent="0.25">
      <c r="A9" s="41" t="s">
        <v>17</v>
      </c>
      <c r="B9">
        <v>878</v>
      </c>
      <c r="C9" s="3">
        <f t="shared" si="0"/>
        <v>0.15731947679627306</v>
      </c>
    </row>
    <row r="10" spans="1:3" x14ac:dyDescent="0.25">
      <c r="A10" s="41" t="s">
        <v>18</v>
      </c>
      <c r="B10">
        <v>1206</v>
      </c>
      <c r="C10" s="3">
        <f t="shared" si="0"/>
        <v>0.2160903063967031</v>
      </c>
    </row>
    <row r="11" spans="1:3" ht="15.75" customHeight="1" x14ac:dyDescent="0.25">
      <c r="A11" s="42" t="s">
        <v>19</v>
      </c>
      <c r="B11">
        <v>161</v>
      </c>
      <c r="C11" s="3">
        <f t="shared" si="0"/>
        <v>2.8847876724601325E-2</v>
      </c>
    </row>
    <row r="12" spans="1:3" x14ac:dyDescent="0.25">
      <c r="A12" s="42" t="s">
        <v>20</v>
      </c>
      <c r="B12">
        <v>55</v>
      </c>
      <c r="C12" s="3">
        <f t="shared" si="0"/>
        <v>9.8548647195843032E-3</v>
      </c>
    </row>
    <row r="14" spans="1:3" x14ac:dyDescent="0.25">
      <c r="A14" t="s">
        <v>47</v>
      </c>
      <c r="B14">
        <f>SUM(B4:B12)</f>
        <v>5581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 - Wikipedia</vt:lpstr>
      <vt:lpstr>AU 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2020-04-20T04:59:38Z</dcterms:modified>
</cp:coreProperties>
</file>