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F:\Python\Aus COVID-19 Projections\Aus-COVID-19-Projections\"/>
    </mc:Choice>
  </mc:AlternateContent>
  <xr:revisionPtr revIDLastSave="0" documentId="13_ncr:1_{65D0C0C8-E9F1-436B-9F6A-640194B03381}" xr6:coauthVersionLast="46" xr6:coauthVersionMax="46"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34" i="1" l="1"/>
  <c r="AJ34" i="1"/>
  <c r="AI34" i="1"/>
  <c r="AH34" i="1"/>
  <c r="AH66" i="1"/>
  <c r="AI66" i="1"/>
  <c r="AJ66" i="1"/>
  <c r="AK66" i="1"/>
  <c r="AH67" i="1"/>
  <c r="AI67" i="1"/>
  <c r="AI85" i="1" s="1"/>
  <c r="AJ67" i="1"/>
  <c r="AJ85" i="1" s="1"/>
  <c r="AK67" i="1"/>
  <c r="AH68" i="1"/>
  <c r="AH84" i="1" s="1"/>
  <c r="AI68" i="1"/>
  <c r="AI84" i="1" s="1"/>
  <c r="AJ68" i="1"/>
  <c r="AJ84" i="1" s="1"/>
  <c r="AK68" i="1"/>
  <c r="AK84" i="1" s="1"/>
  <c r="AH69" i="1"/>
  <c r="AH85" i="1" s="1"/>
  <c r="AI69" i="1"/>
  <c r="AJ69" i="1"/>
  <c r="AK69" i="1"/>
  <c r="AK85" i="1" s="1"/>
  <c r="AH70" i="1"/>
  <c r="AI70" i="1"/>
  <c r="AJ70" i="1"/>
  <c r="AK70" i="1"/>
  <c r="AH71" i="1"/>
  <c r="AI71" i="1"/>
  <c r="AJ71" i="1"/>
  <c r="AK71" i="1"/>
  <c r="AH72" i="1"/>
  <c r="AI72" i="1"/>
  <c r="AJ72" i="1"/>
  <c r="AK72" i="1"/>
  <c r="AH73" i="1"/>
  <c r="AI73" i="1"/>
  <c r="AJ73" i="1"/>
  <c r="AK73" i="1"/>
  <c r="AH74" i="1"/>
  <c r="AI74" i="1"/>
  <c r="AJ74" i="1"/>
  <c r="AK74" i="1"/>
  <c r="AH75" i="1"/>
  <c r="AI75" i="1"/>
  <c r="AJ75" i="1"/>
  <c r="AK75" i="1"/>
  <c r="AH76" i="1"/>
  <c r="AI76" i="1"/>
  <c r="AJ76" i="1"/>
  <c r="AK76" i="1"/>
  <c r="AH77" i="1"/>
  <c r="AI77" i="1"/>
  <c r="AJ77" i="1"/>
  <c r="AK77" i="1"/>
  <c r="AH78" i="1"/>
  <c r="AI78" i="1"/>
  <c r="AJ78" i="1"/>
  <c r="AK78" i="1"/>
  <c r="AH79" i="1"/>
  <c r="AI79" i="1"/>
  <c r="AJ79" i="1"/>
  <c r="AK79" i="1"/>
  <c r="AH80" i="1"/>
  <c r="AI80" i="1"/>
  <c r="AJ80" i="1"/>
  <c r="AK80" i="1"/>
  <c r="AH81" i="1"/>
  <c r="AI81" i="1"/>
  <c r="AJ81" i="1"/>
  <c r="AK81" i="1"/>
  <c r="AH82" i="1"/>
  <c r="AI82" i="1"/>
  <c r="AJ82" i="1"/>
  <c r="AK82" i="1"/>
  <c r="AH83" i="1"/>
  <c r="AI83" i="1"/>
  <c r="AJ83" i="1"/>
  <c r="AK83" i="1"/>
  <c r="AH89" i="1"/>
  <c r="AH101" i="1" s="1"/>
  <c r="AI89" i="1"/>
  <c r="AI101" i="1" s="1"/>
  <c r="AJ89" i="1"/>
  <c r="AJ101" i="1" s="1"/>
  <c r="AK89" i="1"/>
  <c r="AK101" i="1" s="1"/>
  <c r="AH90" i="1"/>
  <c r="AI90" i="1"/>
  <c r="AI102" i="1" s="1"/>
  <c r="AJ90" i="1"/>
  <c r="AJ102" i="1" s="1"/>
  <c r="AK90" i="1"/>
  <c r="AK102" i="1" s="1"/>
  <c r="AH91" i="1"/>
  <c r="AI91" i="1"/>
  <c r="AJ91" i="1"/>
  <c r="AK91" i="1"/>
  <c r="AH92" i="1"/>
  <c r="AH102" i="1" s="1"/>
  <c r="AI92" i="1"/>
  <c r="AJ92" i="1"/>
  <c r="AK92" i="1"/>
  <c r="AH93" i="1"/>
  <c r="AI93" i="1"/>
  <c r="AJ93" i="1"/>
  <c r="AK93" i="1"/>
  <c r="AH94" i="1"/>
  <c r="AI94" i="1"/>
  <c r="AJ94" i="1"/>
  <c r="AK94" i="1"/>
  <c r="AH95" i="1"/>
  <c r="AI95" i="1"/>
  <c r="AJ95" i="1"/>
  <c r="AK95" i="1"/>
  <c r="AH96" i="1"/>
  <c r="AI96" i="1"/>
  <c r="AJ96" i="1"/>
  <c r="AK96" i="1"/>
  <c r="AH97" i="1"/>
  <c r="AI97" i="1"/>
  <c r="AJ97" i="1"/>
  <c r="AK97" i="1"/>
  <c r="AH98" i="1"/>
  <c r="AI98" i="1"/>
  <c r="AJ98" i="1"/>
  <c r="AK98" i="1"/>
  <c r="AH99" i="1"/>
  <c r="AI99" i="1"/>
  <c r="AJ99" i="1"/>
  <c r="AK99" i="1"/>
  <c r="AH36" i="1"/>
  <c r="AI36" i="1"/>
  <c r="AJ36" i="1"/>
  <c r="AK36" i="1"/>
  <c r="AH39" i="1"/>
  <c r="AI39" i="1"/>
  <c r="AJ39" i="1"/>
  <c r="AK39" i="1"/>
  <c r="AH40" i="1"/>
  <c r="AI40" i="1"/>
  <c r="AJ40" i="1"/>
  <c r="AK40" i="1"/>
  <c r="AH41" i="1"/>
  <c r="AI41" i="1"/>
  <c r="AI42" i="1" s="1"/>
  <c r="AJ41" i="1"/>
  <c r="AK41" i="1"/>
  <c r="AH43" i="1"/>
  <c r="AI43" i="1"/>
  <c r="AJ43" i="1"/>
  <c r="AK43" i="1"/>
  <c r="AH44" i="1"/>
  <c r="AI44" i="1"/>
  <c r="AJ44" i="1"/>
  <c r="AK44" i="1"/>
  <c r="AH45" i="1"/>
  <c r="AJ45" i="1"/>
  <c r="AH49" i="1"/>
  <c r="AI49" i="1"/>
  <c r="AJ49" i="1"/>
  <c r="AK49" i="1"/>
  <c r="AH50" i="1"/>
  <c r="AI50" i="1"/>
  <c r="AJ50" i="1"/>
  <c r="AK50" i="1"/>
  <c r="AH51" i="1"/>
  <c r="AI51" i="1"/>
  <c r="AJ51" i="1"/>
  <c r="AK51" i="1"/>
  <c r="AH52" i="1"/>
  <c r="AI52" i="1"/>
  <c r="AJ52" i="1"/>
  <c r="AK52" i="1"/>
  <c r="AH53" i="1"/>
  <c r="AI53" i="1"/>
  <c r="AJ53" i="1"/>
  <c r="AK53" i="1"/>
  <c r="AH56" i="1"/>
  <c r="AI56" i="1"/>
  <c r="AJ56" i="1"/>
  <c r="AK56" i="1"/>
  <c r="AH57" i="1"/>
  <c r="AH42" i="1" s="1"/>
  <c r="AI57" i="1"/>
  <c r="AJ57" i="1"/>
  <c r="AK57" i="1"/>
  <c r="AH59" i="1"/>
  <c r="AI45" i="1" s="1"/>
  <c r="AI59" i="1"/>
  <c r="AJ59" i="1"/>
  <c r="AK59" i="1"/>
  <c r="AH61" i="1"/>
  <c r="AI61" i="1"/>
  <c r="AJ61" i="1"/>
  <c r="AK61" i="1"/>
  <c r="AK35" i="1"/>
  <c r="AJ35" i="1"/>
  <c r="AI35" i="1"/>
  <c r="AH35" i="1"/>
  <c r="AM61" i="1"/>
  <c r="AL61" i="1"/>
  <c r="AK42" i="1" l="1"/>
  <c r="AK47" i="1"/>
  <c r="AK48" i="1" s="1"/>
  <c r="AJ47" i="1"/>
  <c r="AJ48" i="1" s="1"/>
  <c r="AJ46" i="1" s="1"/>
  <c r="AJ37" i="1" s="1"/>
  <c r="AJ38" i="1" s="1"/>
  <c r="AI47" i="1"/>
  <c r="AI48" i="1" s="1"/>
  <c r="AI46" i="1" s="1"/>
  <c r="AI37" i="1" s="1"/>
  <c r="AI38" i="1" s="1"/>
  <c r="AH47" i="1"/>
  <c r="AH48" i="1" s="1"/>
  <c r="AH46" i="1" s="1"/>
  <c r="AH37" i="1" s="1"/>
  <c r="AH38" i="1" s="1"/>
  <c r="AK45" i="1"/>
  <c r="AK46" i="1" s="1"/>
  <c r="AK37" i="1" s="1"/>
  <c r="AK38" i="1" s="1"/>
  <c r="AJ42" i="1"/>
  <c r="AG61" i="1"/>
  <c r="AF61" i="1" l="1"/>
  <c r="C7" i="5" l="1"/>
  <c r="AE61" i="1" l="1"/>
  <c r="AD61" i="1" l="1"/>
  <c r="AC61" i="1" l="1"/>
  <c r="AB61" i="1" l="1"/>
  <c r="B23" i="1" l="1"/>
  <c r="AA61" i="1" l="1"/>
  <c r="Z61" i="1" l="1"/>
  <c r="Y61" i="1" l="1"/>
  <c r="Q61" i="1" l="1"/>
  <c r="R61" i="1"/>
  <c r="S61" i="1"/>
  <c r="T61" i="1"/>
  <c r="U61" i="1"/>
  <c r="V61" i="1"/>
  <c r="W61" i="1"/>
  <c r="X61" i="1"/>
  <c r="P61" i="1"/>
  <c r="E34" i="4" l="1"/>
  <c r="C45" i="4"/>
  <c r="C21" i="5" l="1"/>
  <c r="C26" i="1"/>
  <c r="D26" i="1" s="1"/>
  <c r="C25" i="1"/>
  <c r="B14" i="3"/>
  <c r="P57" i="1"/>
  <c r="B82" i="1"/>
  <c r="B80" i="1"/>
  <c r="B78" i="1"/>
  <c r="B76" i="1"/>
  <c r="B74" i="1"/>
  <c r="B72" i="1"/>
  <c r="B70" i="1"/>
  <c r="B68" i="1"/>
  <c r="B66" i="1"/>
  <c r="C23" i="2"/>
  <c r="D23" i="2" s="1"/>
  <c r="D24" i="2"/>
  <c r="D18" i="2"/>
  <c r="D16" i="2"/>
  <c r="D14" i="2"/>
  <c r="D12" i="2"/>
  <c r="D10" i="2"/>
  <c r="D8" i="2"/>
  <c r="D6" i="2"/>
  <c r="D4" i="2"/>
  <c r="C18" i="2"/>
  <c r="C16" i="2"/>
  <c r="C14" i="2"/>
  <c r="C12" i="2"/>
  <c r="C10" i="2"/>
  <c r="C8" i="2"/>
  <c r="C6" i="2"/>
  <c r="C4" i="2"/>
  <c r="B25" i="2"/>
  <c r="BO39" i="1" l="1"/>
  <c r="BO36" i="1"/>
  <c r="BO35" i="1" s="1"/>
  <c r="BO43" i="1" s="1"/>
  <c r="BM39" i="1"/>
  <c r="BO41" i="1" l="1"/>
  <c r="BO40" i="1"/>
  <c r="C5" i="5"/>
  <c r="C4" i="5"/>
  <c r="Q34" i="1"/>
  <c r="R34" i="1" l="1"/>
  <c r="S34" i="1" s="1"/>
  <c r="Q59" i="1"/>
  <c r="T34" i="1" l="1"/>
  <c r="Q57" i="1"/>
  <c r="P59" i="1"/>
  <c r="P56" i="1"/>
  <c r="U34" i="1" l="1"/>
  <c r="R57" i="1"/>
  <c r="P45" i="1"/>
  <c r="P46" i="1" s="1"/>
  <c r="P47" i="1"/>
  <c r="P48" i="1" s="1"/>
  <c r="V34" i="1" l="1"/>
  <c r="S57" i="1"/>
  <c r="P43" i="1"/>
  <c r="P44" i="1" s="1"/>
  <c r="P39" i="1"/>
  <c r="P41" i="1" s="1"/>
  <c r="P42" i="1" s="1"/>
  <c r="C12" i="5"/>
  <c r="C8" i="5"/>
  <c r="C9" i="5" s="1"/>
  <c r="C18" i="5"/>
  <c r="C15" i="5"/>
  <c r="C24" i="5"/>
  <c r="C3" i="5"/>
  <c r="W34" i="1" l="1"/>
  <c r="C30" i="5"/>
  <c r="P40" i="1"/>
  <c r="T57" i="1"/>
  <c r="P37" i="1"/>
  <c r="P38" i="1" s="1"/>
  <c r="C34" i="5"/>
  <c r="X34" i="1" l="1"/>
  <c r="U57" i="1"/>
  <c r="C13" i="5"/>
  <c r="C14" i="5" s="1"/>
  <c r="BN35" i="1"/>
  <c r="P52" i="1"/>
  <c r="P50" i="1"/>
  <c r="P53" i="1"/>
  <c r="P51" i="1"/>
  <c r="X59" i="1" l="1"/>
  <c r="Y34" i="1"/>
  <c r="BN91" i="1"/>
  <c r="BN92" i="1" s="1"/>
  <c r="BN89" i="1"/>
  <c r="BN95" i="1"/>
  <c r="BN96" i="1" s="1"/>
  <c r="BN99" i="1"/>
  <c r="BN93" i="1"/>
  <c r="BN94" i="1" s="1"/>
  <c r="BN97" i="1"/>
  <c r="BN98" i="1" s="1"/>
  <c r="V57" i="1"/>
  <c r="BN36" i="1"/>
  <c r="BO49" i="1"/>
  <c r="BO47" i="1"/>
  <c r="BO45" i="1"/>
  <c r="BN58" i="1"/>
  <c r="BO58" i="1" s="1"/>
  <c r="BN43" i="1"/>
  <c r="BN39" i="1"/>
  <c r="BN41" i="1" s="1"/>
  <c r="C22" i="5"/>
  <c r="C23" i="5" s="1"/>
  <c r="C35" i="5"/>
  <c r="C40" i="5" s="1"/>
  <c r="C25" i="5"/>
  <c r="C19" i="5"/>
  <c r="C20" i="5" s="1"/>
  <c r="C16" i="5"/>
  <c r="C17" i="5" s="1"/>
  <c r="C31" i="5"/>
  <c r="AP25" i="4"/>
  <c r="E31" i="4"/>
  <c r="B17" i="4" s="1"/>
  <c r="K20" i="4" l="1"/>
  <c r="B18" i="4"/>
  <c r="B19" i="4" s="1"/>
  <c r="Z34" i="1"/>
  <c r="BN90" i="1"/>
  <c r="BN102" i="1" s="1"/>
  <c r="BN101"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A34" i="1"/>
  <c r="E18" i="4"/>
  <c r="K21" i="4" s="1"/>
  <c r="N20" i="4"/>
  <c r="H17" i="4"/>
  <c r="P89" i="1"/>
  <c r="P90" i="1" s="1"/>
  <c r="AB34" i="1" l="1"/>
  <c r="E19" i="4"/>
  <c r="Q20" i="4"/>
  <c r="H18" i="4"/>
  <c r="N22" i="4" s="1"/>
  <c r="K17" i="4"/>
  <c r="Y24" i="4"/>
  <c r="AC34" i="1" l="1"/>
  <c r="H19" i="4"/>
  <c r="T20" i="4"/>
  <c r="K18" i="4"/>
  <c r="K19" i="4" s="1"/>
  <c r="N21" i="4"/>
  <c r="AB24" i="4" s="1"/>
  <c r="N17" i="4"/>
  <c r="AD34" i="1" l="1"/>
  <c r="Q17" i="4"/>
  <c r="T17" i="4" s="1"/>
  <c r="W20" i="4"/>
  <c r="N18" i="4"/>
  <c r="N19" i="4" s="1"/>
  <c r="Q21" i="4"/>
  <c r="AE24" i="4" s="1"/>
  <c r="Q22" i="4"/>
  <c r="AE34" i="1" l="1"/>
  <c r="AF34" i="1" s="1"/>
  <c r="AG34" i="1" s="1"/>
  <c r="AL34" i="1" s="1"/>
  <c r="T18" i="4"/>
  <c r="T19" i="4" s="1"/>
  <c r="AC20" i="4"/>
  <c r="Z20" i="4"/>
  <c r="Q18" i="4"/>
  <c r="Q19" i="4" s="1"/>
  <c r="T21" i="4"/>
  <c r="AH24" i="4" s="1"/>
  <c r="T22" i="4"/>
  <c r="T23" i="4"/>
  <c r="W21" i="4"/>
  <c r="AK24" i="4" s="1"/>
  <c r="W17" i="4"/>
  <c r="AQ34" i="1" l="1"/>
  <c r="W23" i="4"/>
  <c r="W18" i="4"/>
  <c r="W19" i="4" s="1"/>
  <c r="AF20" i="4"/>
  <c r="W22" i="4"/>
  <c r="Z21" i="4"/>
  <c r="AN24" i="4" s="1"/>
  <c r="Z23" i="4"/>
  <c r="Z22" i="4"/>
  <c r="Z17" i="4"/>
  <c r="C99" i="1"/>
  <c r="C97" i="1"/>
  <c r="C95" i="1"/>
  <c r="C93" i="1"/>
  <c r="C91" i="1"/>
  <c r="C89" i="1"/>
  <c r="P49" i="1"/>
  <c r="D68" i="1"/>
  <c r="AN34" i="1" l="1"/>
  <c r="AP34" i="1"/>
  <c r="AM34" i="1"/>
  <c r="AO34" i="1"/>
  <c r="AV34" i="1"/>
  <c r="AR34" i="1" s="1"/>
  <c r="AN57" i="1"/>
  <c r="AN56" i="1"/>
  <c r="AM57" i="1"/>
  <c r="AM56" i="1"/>
  <c r="AP56" i="1"/>
  <c r="AP57" i="1"/>
  <c r="Z18" i="4"/>
  <c r="Z19" i="4" s="1"/>
  <c r="AI20" i="4"/>
  <c r="BN68" i="1"/>
  <c r="BN69" i="1"/>
  <c r="AC21" i="4"/>
  <c r="AC22" i="4"/>
  <c r="AC23" i="4"/>
  <c r="AC17" i="4"/>
  <c r="BN49" i="1"/>
  <c r="D72" i="1"/>
  <c r="D66" i="1"/>
  <c r="D82" i="1"/>
  <c r="D80" i="1"/>
  <c r="D78" i="1"/>
  <c r="D76" i="1"/>
  <c r="D74" i="1"/>
  <c r="D70" i="1"/>
  <c r="C10" i="5"/>
  <c r="C26" i="5" s="1"/>
  <c r="C27" i="5" s="1"/>
  <c r="C11" i="5"/>
  <c r="P69" i="1"/>
  <c r="P99" i="1"/>
  <c r="P97" i="1"/>
  <c r="P95" i="1"/>
  <c r="P96" i="1" s="1"/>
  <c r="P93" i="1"/>
  <c r="P94" i="1" s="1"/>
  <c r="P91" i="1"/>
  <c r="P92" i="1" s="1"/>
  <c r="C68" i="1"/>
  <c r="C70" i="1"/>
  <c r="C72" i="1"/>
  <c r="C74" i="1"/>
  <c r="C76" i="1"/>
  <c r="C78" i="1"/>
  <c r="C80" i="1"/>
  <c r="C82" i="1"/>
  <c r="C66" i="1"/>
  <c r="P36" i="1"/>
  <c r="Q35" i="1"/>
  <c r="AS34" i="1" l="1"/>
  <c r="AU34" i="1"/>
  <c r="AT34" i="1"/>
  <c r="AT57" i="1"/>
  <c r="AT56" i="1"/>
  <c r="AS57" i="1"/>
  <c r="AS56" i="1"/>
  <c r="AU57" i="1"/>
  <c r="AU56" i="1"/>
  <c r="BA34" i="1"/>
  <c r="AV56" i="1"/>
  <c r="AV57" i="1"/>
  <c r="AO57" i="1"/>
  <c r="AO56" i="1"/>
  <c r="C28" i="5"/>
  <c r="C29" i="5" s="1"/>
  <c r="BN66" i="1"/>
  <c r="BN67" i="1"/>
  <c r="AL20" i="4"/>
  <c r="AC18" i="4"/>
  <c r="AC19" i="4" s="1"/>
  <c r="BN78" i="1"/>
  <c r="BN79" i="1"/>
  <c r="BN71" i="1"/>
  <c r="BN70" i="1"/>
  <c r="BN74" i="1"/>
  <c r="BN75" i="1"/>
  <c r="BN81" i="1"/>
  <c r="BN80" i="1"/>
  <c r="BN73" i="1"/>
  <c r="BN72" i="1"/>
  <c r="BN77" i="1"/>
  <c r="BN76" i="1"/>
  <c r="P83" i="1"/>
  <c r="BN83" i="1"/>
  <c r="BN82" i="1"/>
  <c r="Q45" i="1"/>
  <c r="Q47" i="1"/>
  <c r="Q48" i="1" s="1"/>
  <c r="Q43" i="1"/>
  <c r="Q44" i="1" s="1"/>
  <c r="Q50" i="1"/>
  <c r="Q53" i="1"/>
  <c r="Q56" i="1"/>
  <c r="Q51" i="1"/>
  <c r="Q52" i="1"/>
  <c r="Q39" i="1"/>
  <c r="AF22" i="4"/>
  <c r="AF23" i="4"/>
  <c r="AF21" i="4"/>
  <c r="AF17" i="4"/>
  <c r="P67" i="1"/>
  <c r="P66" i="1"/>
  <c r="P75" i="1"/>
  <c r="P74" i="1"/>
  <c r="P78" i="1"/>
  <c r="P77" i="1"/>
  <c r="P80" i="1"/>
  <c r="P70" i="1"/>
  <c r="R35" i="1"/>
  <c r="Q93" i="1"/>
  <c r="Q94" i="1" s="1"/>
  <c r="P71" i="1"/>
  <c r="Q82" i="1"/>
  <c r="Q91" i="1"/>
  <c r="Q92" i="1" s="1"/>
  <c r="P79" i="1"/>
  <c r="Q80" i="1"/>
  <c r="Q99" i="1"/>
  <c r="P68" i="1"/>
  <c r="P76" i="1"/>
  <c r="Q97" i="1"/>
  <c r="Q98" i="1" s="1"/>
  <c r="Q95" i="1"/>
  <c r="Q96" i="1" s="1"/>
  <c r="Q78" i="1"/>
  <c r="Q71" i="1"/>
  <c r="Q75" i="1"/>
  <c r="Q79" i="1"/>
  <c r="Q83" i="1"/>
  <c r="P101" i="1"/>
  <c r="Q89" i="1"/>
  <c r="Q90" i="1" s="1"/>
  <c r="P72" i="1"/>
  <c r="Q68" i="1"/>
  <c r="P73" i="1"/>
  <c r="P81" i="1"/>
  <c r="Q72" i="1"/>
  <c r="Q69" i="1"/>
  <c r="Q76" i="1"/>
  <c r="P82" i="1"/>
  <c r="Q66" i="1"/>
  <c r="Q73" i="1"/>
  <c r="Q77" i="1"/>
  <c r="Q81" i="1"/>
  <c r="Q70" i="1"/>
  <c r="Q67" i="1"/>
  <c r="Q74" i="1"/>
  <c r="P98" i="1"/>
  <c r="P102" i="1" s="1"/>
  <c r="Q36" i="1"/>
  <c r="Q49" i="1"/>
  <c r="AX34" i="1" l="1"/>
  <c r="AY34" i="1"/>
  <c r="AZ34" i="1"/>
  <c r="AW34" i="1"/>
  <c r="AW57" i="1"/>
  <c r="AW56" i="1"/>
  <c r="AZ57" i="1"/>
  <c r="AZ56" i="1"/>
  <c r="AY57" i="1"/>
  <c r="AY56" i="1"/>
  <c r="AX57" i="1"/>
  <c r="AX56" i="1"/>
  <c r="AR57" i="1"/>
  <c r="AR56" i="1"/>
  <c r="BF34" i="1"/>
  <c r="BA56" i="1"/>
  <c r="BA57" i="1"/>
  <c r="R43" i="1"/>
  <c r="R44" i="1" s="1"/>
  <c r="AO20" i="4"/>
  <c r="AF18" i="4"/>
  <c r="AF19" i="4" s="1"/>
  <c r="BN85" i="1"/>
  <c r="BN84" i="1"/>
  <c r="Q46" i="1"/>
  <c r="Q37" i="1" s="1"/>
  <c r="Q38" i="1" s="1"/>
  <c r="R91" i="1"/>
  <c r="R92" i="1" s="1"/>
  <c r="R72" i="1"/>
  <c r="R47" i="1"/>
  <c r="R48" i="1" s="1"/>
  <c r="R97" i="1"/>
  <c r="R98" i="1" s="1"/>
  <c r="R68" i="1"/>
  <c r="R67" i="1"/>
  <c r="R89" i="1"/>
  <c r="R90" i="1" s="1"/>
  <c r="R69" i="1"/>
  <c r="R36" i="1"/>
  <c r="Q40" i="1"/>
  <c r="Q41" i="1"/>
  <c r="Q42" i="1" s="1"/>
  <c r="R59" i="1"/>
  <c r="S35" i="1"/>
  <c r="R39" i="1"/>
  <c r="R49" i="1"/>
  <c r="R82" i="1"/>
  <c r="R81" i="1"/>
  <c r="R93" i="1"/>
  <c r="R94" i="1" s="1"/>
  <c r="R77" i="1"/>
  <c r="R76" i="1"/>
  <c r="R52" i="1"/>
  <c r="R50" i="1"/>
  <c r="R53" i="1"/>
  <c r="R56" i="1"/>
  <c r="R51" i="1"/>
  <c r="AI23" i="4"/>
  <c r="AI21" i="4"/>
  <c r="AI22" i="4"/>
  <c r="AI17" i="4"/>
  <c r="AI18" i="4" s="1"/>
  <c r="P85" i="1"/>
  <c r="Q85" i="1"/>
  <c r="R79" i="1"/>
  <c r="R78" i="1"/>
  <c r="R74" i="1"/>
  <c r="R71" i="1"/>
  <c r="R73" i="1"/>
  <c r="R66" i="1"/>
  <c r="R75" i="1"/>
  <c r="R80" i="1"/>
  <c r="R99" i="1"/>
  <c r="R70" i="1"/>
  <c r="R95" i="1"/>
  <c r="R96" i="1" s="1"/>
  <c r="R83" i="1"/>
  <c r="Q101" i="1"/>
  <c r="P84" i="1"/>
  <c r="Q84" i="1"/>
  <c r="Q102" i="1"/>
  <c r="BB34" i="1" l="1"/>
  <c r="BD34" i="1"/>
  <c r="BC34" i="1"/>
  <c r="BE34" i="1"/>
  <c r="BF57" i="1"/>
  <c r="BF56" i="1"/>
  <c r="BK34" i="1"/>
  <c r="BJ34" i="1" s="1"/>
  <c r="S43" i="1"/>
  <c r="S73" i="1"/>
  <c r="S71" i="1"/>
  <c r="S69" i="1"/>
  <c r="S83" i="1"/>
  <c r="S91" i="1"/>
  <c r="S92" i="1" s="1"/>
  <c r="S79" i="1"/>
  <c r="S78" i="1"/>
  <c r="S70" i="1"/>
  <c r="S81" i="1"/>
  <c r="S76" i="1"/>
  <c r="S99" i="1"/>
  <c r="S66" i="1"/>
  <c r="S77" i="1"/>
  <c r="S75" i="1"/>
  <c r="S68" i="1"/>
  <c r="S89" i="1"/>
  <c r="S90" i="1" s="1"/>
  <c r="S72" i="1"/>
  <c r="T35" i="1"/>
  <c r="S82" i="1"/>
  <c r="S80" i="1"/>
  <c r="S49" i="1"/>
  <c r="S93" i="1"/>
  <c r="S94" i="1" s="1"/>
  <c r="R102" i="1"/>
  <c r="S67" i="1"/>
  <c r="S95" i="1"/>
  <c r="S96" i="1" s="1"/>
  <c r="S97" i="1"/>
  <c r="S98" i="1" s="1"/>
  <c r="S36" i="1"/>
  <c r="S74" i="1"/>
  <c r="S59" i="1"/>
  <c r="R40" i="1"/>
  <c r="R41" i="1"/>
  <c r="R42" i="1" s="1"/>
  <c r="S51" i="1"/>
  <c r="S52" i="1"/>
  <c r="S53" i="1"/>
  <c r="S56" i="1"/>
  <c r="S50" i="1"/>
  <c r="R101" i="1"/>
  <c r="S39" i="1"/>
  <c r="AL22" i="4"/>
  <c r="AL21" i="4"/>
  <c r="AL23" i="4"/>
  <c r="AL17" i="4"/>
  <c r="AL18" i="4" s="1"/>
  <c r="AI19" i="4"/>
  <c r="R84" i="1"/>
  <c r="R85" i="1"/>
  <c r="BJ56" i="1" l="1"/>
  <c r="BJ57" i="1"/>
  <c r="BD56" i="1"/>
  <c r="BD57" i="1"/>
  <c r="BB57" i="1"/>
  <c r="BB56" i="1"/>
  <c r="BG34" i="1"/>
  <c r="BH34" i="1"/>
  <c r="BE56" i="1"/>
  <c r="BE57" i="1"/>
  <c r="BI34" i="1"/>
  <c r="BC56" i="1"/>
  <c r="BC57" i="1"/>
  <c r="BL34" i="1"/>
  <c r="BM34" i="1"/>
  <c r="BK56" i="1"/>
  <c r="BK57" i="1"/>
  <c r="T78" i="1"/>
  <c r="T82" i="1"/>
  <c r="T79" i="1"/>
  <c r="T91" i="1"/>
  <c r="T92" i="1" s="1"/>
  <c r="T76" i="1"/>
  <c r="T77" i="1"/>
  <c r="T68" i="1"/>
  <c r="T74" i="1"/>
  <c r="T89" i="1"/>
  <c r="T90" i="1" s="1"/>
  <c r="S85" i="1"/>
  <c r="T75" i="1"/>
  <c r="T67" i="1"/>
  <c r="T97" i="1"/>
  <c r="T98" i="1" s="1"/>
  <c r="T81" i="1"/>
  <c r="T73" i="1"/>
  <c r="T80" i="1"/>
  <c r="T95" i="1"/>
  <c r="T96" i="1" s="1"/>
  <c r="S102" i="1"/>
  <c r="T43" i="1"/>
  <c r="T36" i="1"/>
  <c r="T69" i="1"/>
  <c r="T70" i="1"/>
  <c r="T93" i="1"/>
  <c r="T94" i="1" s="1"/>
  <c r="T39" i="1"/>
  <c r="T41" i="1" s="1"/>
  <c r="T49" i="1"/>
  <c r="T72" i="1"/>
  <c r="U35" i="1"/>
  <c r="U76" i="1" s="1"/>
  <c r="T83" i="1"/>
  <c r="S84" i="1"/>
  <c r="T71" i="1"/>
  <c r="T99" i="1"/>
  <c r="S101" i="1"/>
  <c r="T66" i="1"/>
  <c r="T59" i="1"/>
  <c r="S40" i="1"/>
  <c r="S41" i="1"/>
  <c r="T51" i="1"/>
  <c r="T56" i="1"/>
  <c r="T52" i="1"/>
  <c r="T53" i="1"/>
  <c r="T50" i="1"/>
  <c r="AO21" i="4"/>
  <c r="AO22" i="4"/>
  <c r="AO23" i="4"/>
  <c r="AO17" i="4"/>
  <c r="AO18" i="4" s="1"/>
  <c r="AO19" i="4" s="1"/>
  <c r="AL19" i="4"/>
  <c r="BI56" i="1" l="1"/>
  <c r="BI57" i="1"/>
  <c r="BH57" i="1"/>
  <c r="BH56" i="1"/>
  <c r="BG56" i="1"/>
  <c r="BG57" i="1"/>
  <c r="BM57" i="1"/>
  <c r="BN34" i="1"/>
  <c r="BN56" i="1" s="1"/>
  <c r="BM56" i="1"/>
  <c r="BL56" i="1"/>
  <c r="BL57" i="1"/>
  <c r="U79" i="1"/>
  <c r="U66" i="1"/>
  <c r="U69" i="1"/>
  <c r="T84" i="1"/>
  <c r="T102" i="1"/>
  <c r="U82" i="1"/>
  <c r="U49" i="1"/>
  <c r="V35" i="1"/>
  <c r="V39" i="1" s="1"/>
  <c r="U71" i="1"/>
  <c r="U97" i="1"/>
  <c r="U98" i="1" s="1"/>
  <c r="U77" i="1"/>
  <c r="U78" i="1"/>
  <c r="T101" i="1"/>
  <c r="U74" i="1"/>
  <c r="T85" i="1"/>
  <c r="U36" i="1"/>
  <c r="U72" i="1"/>
  <c r="U95" i="1"/>
  <c r="U96" i="1" s="1"/>
  <c r="U43" i="1"/>
  <c r="U91" i="1"/>
  <c r="U92" i="1" s="1"/>
  <c r="U73" i="1"/>
  <c r="U39" i="1"/>
  <c r="U40" i="1" s="1"/>
  <c r="U81" i="1"/>
  <c r="U80" i="1"/>
  <c r="U75" i="1"/>
  <c r="U93" i="1"/>
  <c r="U94" i="1" s="1"/>
  <c r="U68" i="1"/>
  <c r="U89" i="1"/>
  <c r="U90" i="1" s="1"/>
  <c r="U99" i="1"/>
  <c r="U70" i="1"/>
  <c r="T40" i="1"/>
  <c r="U67" i="1"/>
  <c r="U83" i="1"/>
  <c r="V43" i="1"/>
  <c r="U59" i="1"/>
  <c r="U51" i="1"/>
  <c r="U52" i="1"/>
  <c r="U50" i="1"/>
  <c r="U53" i="1"/>
  <c r="U56" i="1"/>
  <c r="V80" i="1" l="1"/>
  <c r="V49" i="1"/>
  <c r="V77" i="1"/>
  <c r="V89" i="1"/>
  <c r="V90" i="1" s="1"/>
  <c r="V99" i="1"/>
  <c r="V74" i="1"/>
  <c r="V75" i="1"/>
  <c r="V67" i="1"/>
  <c r="V81" i="1"/>
  <c r="V68" i="1"/>
  <c r="V66" i="1"/>
  <c r="V71" i="1"/>
  <c r="V78" i="1"/>
  <c r="V79" i="1"/>
  <c r="V36" i="1"/>
  <c r="V91" i="1"/>
  <c r="V92" i="1" s="1"/>
  <c r="V76" i="1"/>
  <c r="V69" i="1"/>
  <c r="V95" i="1"/>
  <c r="V96" i="1" s="1"/>
  <c r="V93" i="1"/>
  <c r="V94" i="1" s="1"/>
  <c r="V73" i="1"/>
  <c r="V72" i="1"/>
  <c r="W35" i="1"/>
  <c r="V83" i="1"/>
  <c r="V82" i="1"/>
  <c r="V97" i="1"/>
  <c r="V98" i="1" s="1"/>
  <c r="V70" i="1"/>
  <c r="U102" i="1"/>
  <c r="U85" i="1"/>
  <c r="U101" i="1"/>
  <c r="U84" i="1"/>
  <c r="U41" i="1"/>
  <c r="V59" i="1"/>
  <c r="V40" i="1"/>
  <c r="V41" i="1"/>
  <c r="V51" i="1"/>
  <c r="V52" i="1"/>
  <c r="V53" i="1"/>
  <c r="V50" i="1"/>
  <c r="V56" i="1"/>
  <c r="W76" i="1" l="1"/>
  <c r="W79" i="1"/>
  <c r="W91" i="1"/>
  <c r="W92" i="1" s="1"/>
  <c r="W66" i="1"/>
  <c r="W89" i="1"/>
  <c r="W90" i="1" s="1"/>
  <c r="W49" i="1"/>
  <c r="W77" i="1"/>
  <c r="W82" i="1"/>
  <c r="W99" i="1"/>
  <c r="W71" i="1"/>
  <c r="X35" i="1"/>
  <c r="W78" i="1"/>
  <c r="W83" i="1"/>
  <c r="W67" i="1"/>
  <c r="V84" i="1"/>
  <c r="W73" i="1"/>
  <c r="V85" i="1"/>
  <c r="V101" i="1"/>
  <c r="W69" i="1"/>
  <c r="W80" i="1"/>
  <c r="W75" i="1"/>
  <c r="W74" i="1"/>
  <c r="W93" i="1"/>
  <c r="W94" i="1" s="1"/>
  <c r="V102" i="1"/>
  <c r="W39" i="1"/>
  <c r="W40" i="1" s="1"/>
  <c r="W95" i="1"/>
  <c r="W96" i="1" s="1"/>
  <c r="W43" i="1"/>
  <c r="W36" i="1"/>
  <c r="W68" i="1"/>
  <c r="W70" i="1"/>
  <c r="W81" i="1"/>
  <c r="W97" i="1"/>
  <c r="W98" i="1" s="1"/>
  <c r="W72" i="1"/>
  <c r="W59" i="1"/>
  <c r="W57" i="1"/>
  <c r="W56" i="1"/>
  <c r="W51" i="1"/>
  <c r="W53" i="1"/>
  <c r="W52" i="1"/>
  <c r="W50" i="1"/>
  <c r="X43" i="1" l="1"/>
  <c r="X79" i="1"/>
  <c r="X82" i="1"/>
  <c r="X83" i="1"/>
  <c r="X36" i="1"/>
  <c r="X97" i="1"/>
  <c r="X98" i="1" s="1"/>
  <c r="X95" i="1"/>
  <c r="X96" i="1" s="1"/>
  <c r="X93" i="1"/>
  <c r="X94" i="1" s="1"/>
  <c r="X74" i="1"/>
  <c r="X91" i="1"/>
  <c r="X92" i="1" s="1"/>
  <c r="X77" i="1"/>
  <c r="X69" i="1"/>
  <c r="X67" i="1"/>
  <c r="X66" i="1"/>
  <c r="X75" i="1"/>
  <c r="X81" i="1"/>
  <c r="X49" i="1"/>
  <c r="X68" i="1"/>
  <c r="X76" i="1"/>
  <c r="X80" i="1"/>
  <c r="X89" i="1"/>
  <c r="X90" i="1" s="1"/>
  <c r="X73" i="1"/>
  <c r="X78" i="1"/>
  <c r="X72" i="1"/>
  <c r="X71" i="1"/>
  <c r="Y35" i="1"/>
  <c r="X70" i="1"/>
  <c r="X99" i="1"/>
  <c r="X39" i="1"/>
  <c r="X40" i="1" s="1"/>
  <c r="W85" i="1"/>
  <c r="W41" i="1"/>
  <c r="W84" i="1"/>
  <c r="W101" i="1"/>
  <c r="W102" i="1"/>
  <c r="X56" i="1"/>
  <c r="X57" i="1"/>
  <c r="X51" i="1"/>
  <c r="X53" i="1"/>
  <c r="X50" i="1"/>
  <c r="X52" i="1"/>
  <c r="Y49" i="1" l="1"/>
  <c r="Y39" i="1"/>
  <c r="Y36" i="1"/>
  <c r="Y72" i="1"/>
  <c r="Y95" i="1"/>
  <c r="Y96" i="1" s="1"/>
  <c r="Y99" i="1"/>
  <c r="X102" i="1"/>
  <c r="X101" i="1"/>
  <c r="X85" i="1"/>
  <c r="X84" i="1"/>
  <c r="Y69" i="1"/>
  <c r="Y71" i="1"/>
  <c r="Y79" i="1"/>
  <c r="Y66" i="1"/>
  <c r="Z35" i="1"/>
  <c r="Y80" i="1"/>
  <c r="Y93" i="1"/>
  <c r="Y94" i="1" s="1"/>
  <c r="Y89" i="1"/>
  <c r="Y90" i="1" s="1"/>
  <c r="Y82" i="1"/>
  <c r="Y91" i="1"/>
  <c r="Y92" i="1" s="1"/>
  <c r="Y77" i="1"/>
  <c r="Y73" i="1"/>
  <c r="Y78" i="1"/>
  <c r="Y68" i="1"/>
  <c r="Y43" i="1"/>
  <c r="Y76" i="1"/>
  <c r="Y74" i="1"/>
  <c r="Y67" i="1"/>
  <c r="Y83" i="1"/>
  <c r="Y75" i="1"/>
  <c r="Y97" i="1"/>
  <c r="Y98" i="1" s="1"/>
  <c r="Y81" i="1"/>
  <c r="Y70" i="1"/>
  <c r="X41" i="1"/>
  <c r="Y40" i="1"/>
  <c r="Y41" i="1"/>
  <c r="Y59" i="1"/>
  <c r="Y57" i="1"/>
  <c r="Y56" i="1"/>
  <c r="Y52" i="1"/>
  <c r="Y53" i="1"/>
  <c r="Y50" i="1"/>
  <c r="Y51" i="1"/>
  <c r="Z43" i="1" l="1"/>
  <c r="Z71" i="1"/>
  <c r="Z76" i="1"/>
  <c r="Z74" i="1"/>
  <c r="Z91" i="1"/>
  <c r="Z92" i="1" s="1"/>
  <c r="Z78" i="1"/>
  <c r="Y84" i="1"/>
  <c r="Z82" i="1"/>
  <c r="Z89" i="1"/>
  <c r="Z90" i="1" s="1"/>
  <c r="Z68" i="1"/>
  <c r="Z75" i="1"/>
  <c r="Z49" i="1"/>
  <c r="Z93" i="1"/>
  <c r="Z94" i="1" s="1"/>
  <c r="Z80" i="1"/>
  <c r="Z77" i="1"/>
  <c r="Z83" i="1"/>
  <c r="Z69" i="1"/>
  <c r="Z73" i="1"/>
  <c r="Z95" i="1"/>
  <c r="Z96" i="1" s="1"/>
  <c r="Z81" i="1"/>
  <c r="AA35" i="1"/>
  <c r="Z66" i="1"/>
  <c r="Z39" i="1"/>
  <c r="Z41" i="1" s="1"/>
  <c r="Y85" i="1"/>
  <c r="Z79" i="1"/>
  <c r="Z72" i="1"/>
  <c r="Z97" i="1"/>
  <c r="Z98" i="1" s="1"/>
  <c r="Z67" i="1"/>
  <c r="Z70" i="1"/>
  <c r="Z99" i="1"/>
  <c r="Z36" i="1"/>
  <c r="Y101" i="1"/>
  <c r="Y102" i="1"/>
  <c r="Z59" i="1"/>
  <c r="Z57" i="1"/>
  <c r="Z56" i="1"/>
  <c r="Z53" i="1"/>
  <c r="Z50" i="1"/>
  <c r="Z52" i="1"/>
  <c r="Z51" i="1"/>
  <c r="AA36" i="1" l="1"/>
  <c r="Z40" i="1"/>
  <c r="AA80" i="1"/>
  <c r="AA93" i="1"/>
  <c r="AA94" i="1" s="1"/>
  <c r="AA78" i="1"/>
  <c r="AA71" i="1"/>
  <c r="AA97" i="1"/>
  <c r="AA98" i="1" s="1"/>
  <c r="AA99" i="1"/>
  <c r="AA83" i="1"/>
  <c r="AA73" i="1"/>
  <c r="AA74" i="1"/>
  <c r="AA72" i="1"/>
  <c r="AA69" i="1"/>
  <c r="AA82" i="1"/>
  <c r="AA66" i="1"/>
  <c r="Z101" i="1"/>
  <c r="Z84" i="1"/>
  <c r="AA76" i="1"/>
  <c r="AA81" i="1"/>
  <c r="AA49" i="1"/>
  <c r="AA79" i="1"/>
  <c r="AA43" i="1"/>
  <c r="AA70" i="1"/>
  <c r="AA68" i="1"/>
  <c r="AB35" i="1"/>
  <c r="AA67" i="1"/>
  <c r="AA39" i="1"/>
  <c r="AA41" i="1" s="1"/>
  <c r="AA77" i="1"/>
  <c r="AA95" i="1"/>
  <c r="AA96" i="1" s="1"/>
  <c r="AA75" i="1"/>
  <c r="Z85" i="1"/>
  <c r="Z102" i="1"/>
  <c r="AA91" i="1"/>
  <c r="AA92" i="1" s="1"/>
  <c r="AA89" i="1"/>
  <c r="AA90" i="1" s="1"/>
  <c r="AA57" i="1"/>
  <c r="AA59" i="1"/>
  <c r="AA50" i="1"/>
  <c r="AA52" i="1"/>
  <c r="AA56" i="1"/>
  <c r="AA51" i="1"/>
  <c r="AA53" i="1"/>
  <c r="AB43" i="1" l="1"/>
  <c r="AB91" i="1"/>
  <c r="AB92" i="1" s="1"/>
  <c r="AB80" i="1"/>
  <c r="AB73" i="1"/>
  <c r="AB70" i="1"/>
  <c r="AB76" i="1"/>
  <c r="AB99" i="1"/>
  <c r="AB36" i="1"/>
  <c r="AB93" i="1"/>
  <c r="AB94" i="1" s="1"/>
  <c r="AB69" i="1"/>
  <c r="AB39" i="1"/>
  <c r="AB40" i="1" s="1"/>
  <c r="AA85" i="1"/>
  <c r="AB77" i="1"/>
  <c r="AB74" i="1"/>
  <c r="AA84" i="1"/>
  <c r="AB66" i="1"/>
  <c r="AB67" i="1"/>
  <c r="AB75" i="1"/>
  <c r="AB71" i="1"/>
  <c r="AB68" i="1"/>
  <c r="AB78" i="1"/>
  <c r="AB95" i="1"/>
  <c r="AB96" i="1" s="1"/>
  <c r="AB81" i="1"/>
  <c r="AB72" i="1"/>
  <c r="AA40" i="1"/>
  <c r="AB82" i="1"/>
  <c r="AC35" i="1"/>
  <c r="AB97" i="1"/>
  <c r="AB98" i="1" s="1"/>
  <c r="AA101" i="1"/>
  <c r="AB89" i="1"/>
  <c r="AB90" i="1" s="1"/>
  <c r="AB79" i="1"/>
  <c r="AB83" i="1"/>
  <c r="AB49" i="1"/>
  <c r="AA102" i="1"/>
  <c r="AB57" i="1"/>
  <c r="AB59" i="1"/>
  <c r="AB50" i="1"/>
  <c r="AB52" i="1"/>
  <c r="AB53" i="1"/>
  <c r="AB56" i="1"/>
  <c r="AB51" i="1"/>
  <c r="AC43" i="1" l="1"/>
  <c r="AB84" i="1"/>
  <c r="AB41" i="1"/>
  <c r="AC72" i="1"/>
  <c r="AB102" i="1"/>
  <c r="AC70" i="1"/>
  <c r="AC76" i="1"/>
  <c r="AC71" i="1"/>
  <c r="AD35" i="1"/>
  <c r="AC39" i="1"/>
  <c r="AC41" i="1" s="1"/>
  <c r="AC93" i="1"/>
  <c r="AC94" i="1" s="1"/>
  <c r="AC78" i="1"/>
  <c r="AC49" i="1"/>
  <c r="AC79" i="1"/>
  <c r="AC73" i="1"/>
  <c r="AC82" i="1"/>
  <c r="AC68" i="1"/>
  <c r="AC80" i="1"/>
  <c r="AB85" i="1"/>
  <c r="AC69" i="1"/>
  <c r="AC91" i="1"/>
  <c r="AC92" i="1" s="1"/>
  <c r="AC36" i="1"/>
  <c r="AC83" i="1"/>
  <c r="AC66" i="1"/>
  <c r="AC77" i="1"/>
  <c r="AC99" i="1"/>
  <c r="AC67" i="1"/>
  <c r="AC75" i="1"/>
  <c r="AB101" i="1"/>
  <c r="AC89" i="1"/>
  <c r="AC74" i="1"/>
  <c r="AC81" i="1"/>
  <c r="AC97" i="1"/>
  <c r="AC98" i="1" s="1"/>
  <c r="AC95" i="1"/>
  <c r="AC96" i="1" s="1"/>
  <c r="AC57" i="1"/>
  <c r="AC59" i="1"/>
  <c r="AD39" i="1"/>
  <c r="AC53" i="1"/>
  <c r="AC52" i="1"/>
  <c r="AC50" i="1"/>
  <c r="AC56" i="1"/>
  <c r="AC51" i="1"/>
  <c r="AD83" i="1" l="1"/>
  <c r="AD78" i="1"/>
  <c r="AD70" i="1"/>
  <c r="AD82" i="1"/>
  <c r="AD81" i="1"/>
  <c r="AD74" i="1"/>
  <c r="AD73" i="1"/>
  <c r="AD72" i="1"/>
  <c r="AD66" i="1"/>
  <c r="AD68" i="1"/>
  <c r="AE35" i="1"/>
  <c r="AE83" i="1" s="1"/>
  <c r="AD99" i="1"/>
  <c r="AD69" i="1"/>
  <c r="AD77" i="1"/>
  <c r="AD67" i="1"/>
  <c r="AD79" i="1"/>
  <c r="AD91" i="1"/>
  <c r="AD92" i="1" s="1"/>
  <c r="AD43" i="1"/>
  <c r="AD93" i="1"/>
  <c r="AD94" i="1" s="1"/>
  <c r="AD75" i="1"/>
  <c r="AC40" i="1"/>
  <c r="AC85" i="1"/>
  <c r="AC101" i="1"/>
  <c r="AC84" i="1"/>
  <c r="AD36" i="1"/>
  <c r="AD80" i="1"/>
  <c r="AC90" i="1"/>
  <c r="AC102" i="1" s="1"/>
  <c r="AD71" i="1"/>
  <c r="AD76" i="1"/>
  <c r="AD49" i="1"/>
  <c r="AD89" i="1"/>
  <c r="AD90" i="1" s="1"/>
  <c r="AD95" i="1"/>
  <c r="AD96" i="1" s="1"/>
  <c r="AD97" i="1"/>
  <c r="AD98" i="1" s="1"/>
  <c r="AD57" i="1"/>
  <c r="AD59" i="1"/>
  <c r="AD40" i="1"/>
  <c r="AD41" i="1"/>
  <c r="AD53" i="1"/>
  <c r="AD50" i="1"/>
  <c r="AD52" i="1"/>
  <c r="AD56" i="1"/>
  <c r="AD51" i="1"/>
  <c r="AF35" i="1"/>
  <c r="AE93" i="1"/>
  <c r="AE94" i="1" s="1"/>
  <c r="AE77" i="1"/>
  <c r="AE82" i="1"/>
  <c r="AE43" i="1" l="1"/>
  <c r="AE39" i="1"/>
  <c r="AE70" i="1"/>
  <c r="AE97" i="1"/>
  <c r="AE98" i="1" s="1"/>
  <c r="AE72" i="1"/>
  <c r="AE89" i="1"/>
  <c r="AE68" i="1"/>
  <c r="AE75" i="1"/>
  <c r="AE76" i="1"/>
  <c r="AE73" i="1"/>
  <c r="AE67" i="1"/>
  <c r="AE95" i="1"/>
  <c r="AE96" i="1" s="1"/>
  <c r="AE69" i="1"/>
  <c r="AE71" i="1"/>
  <c r="AE99" i="1"/>
  <c r="AE81" i="1"/>
  <c r="AE74" i="1"/>
  <c r="AE80" i="1"/>
  <c r="AE66" i="1"/>
  <c r="AE49" i="1"/>
  <c r="AE78" i="1"/>
  <c r="AE91" i="1"/>
  <c r="AE92" i="1" s="1"/>
  <c r="AE36" i="1"/>
  <c r="AE79" i="1"/>
  <c r="AD85" i="1"/>
  <c r="AD84" i="1"/>
  <c r="AD101" i="1"/>
  <c r="AD102" i="1"/>
  <c r="AE59" i="1"/>
  <c r="AE57" i="1"/>
  <c r="AF39" i="1"/>
  <c r="AF43" i="1"/>
  <c r="AE40" i="1"/>
  <c r="AE41" i="1"/>
  <c r="AE50" i="1"/>
  <c r="AE52" i="1"/>
  <c r="AE56" i="1"/>
  <c r="AE51" i="1"/>
  <c r="AE53" i="1"/>
  <c r="AF49" i="1"/>
  <c r="AG35" i="1"/>
  <c r="AE90" i="1"/>
  <c r="AF72" i="1"/>
  <c r="AF78" i="1"/>
  <c r="AF75" i="1"/>
  <c r="AF67" i="1"/>
  <c r="AF69" i="1"/>
  <c r="AF66" i="1"/>
  <c r="AF99" i="1"/>
  <c r="AF76" i="1"/>
  <c r="AF97" i="1"/>
  <c r="AF98" i="1" s="1"/>
  <c r="AF70" i="1"/>
  <c r="AF79" i="1"/>
  <c r="AF73" i="1"/>
  <c r="AF81" i="1"/>
  <c r="AF95" i="1"/>
  <c r="AF96" i="1" s="1"/>
  <c r="AF91" i="1"/>
  <c r="AF92" i="1" s="1"/>
  <c r="AF89" i="1"/>
  <c r="AF68" i="1"/>
  <c r="AF82" i="1"/>
  <c r="AF83" i="1"/>
  <c r="AF80" i="1"/>
  <c r="AF93" i="1"/>
  <c r="AF94" i="1" s="1"/>
  <c r="AF74" i="1"/>
  <c r="AF77" i="1"/>
  <c r="AF71" i="1"/>
  <c r="AF36" i="1"/>
  <c r="AE84" i="1" l="1"/>
  <c r="AE85" i="1"/>
  <c r="AE102" i="1"/>
  <c r="AE101" i="1"/>
  <c r="AG39" i="1"/>
  <c r="AG41" i="1" s="1"/>
  <c r="AG43" i="1"/>
  <c r="AF59" i="1"/>
  <c r="AF57" i="1"/>
  <c r="AF40" i="1"/>
  <c r="AF41" i="1"/>
  <c r="AF56" i="1"/>
  <c r="AF51" i="1"/>
  <c r="AF50" i="1"/>
  <c r="AF52" i="1"/>
  <c r="AF53" i="1"/>
  <c r="AG49" i="1"/>
  <c r="AL35" i="1"/>
  <c r="AG89" i="1"/>
  <c r="AG95" i="1"/>
  <c r="AG96" i="1" s="1"/>
  <c r="AG91" i="1"/>
  <c r="AG92" i="1" s="1"/>
  <c r="AG36" i="1"/>
  <c r="AG97" i="1"/>
  <c r="AG98" i="1" s="1"/>
  <c r="AG93" i="1"/>
  <c r="AG94" i="1" s="1"/>
  <c r="AG99" i="1"/>
  <c r="AG68" i="1"/>
  <c r="AG69" i="1"/>
  <c r="AG75" i="1"/>
  <c r="AG70" i="1"/>
  <c r="AG83" i="1"/>
  <c r="AG74" i="1"/>
  <c r="AG82" i="1"/>
  <c r="AG80" i="1"/>
  <c r="AG66" i="1"/>
  <c r="AG71" i="1"/>
  <c r="AG81" i="1"/>
  <c r="AG76" i="1"/>
  <c r="AG67" i="1"/>
  <c r="AG77" i="1"/>
  <c r="AG78" i="1"/>
  <c r="AG72" i="1"/>
  <c r="AG79" i="1"/>
  <c r="AG73" i="1"/>
  <c r="AF84" i="1"/>
  <c r="AF90" i="1"/>
  <c r="AF102" i="1" s="1"/>
  <c r="AF101" i="1"/>
  <c r="AF85" i="1"/>
  <c r="AL39" i="1" l="1"/>
  <c r="AL41" i="1" s="1"/>
  <c r="AL43" i="1"/>
  <c r="AG57" i="1"/>
  <c r="AG59" i="1"/>
  <c r="AG40" i="1"/>
  <c r="AG51" i="1"/>
  <c r="AG52" i="1"/>
  <c r="AG50" i="1"/>
  <c r="AG53" i="1"/>
  <c r="AG56" i="1"/>
  <c r="AL49" i="1"/>
  <c r="AG90" i="1"/>
  <c r="AG102" i="1" s="1"/>
  <c r="AG101" i="1"/>
  <c r="AG84" i="1"/>
  <c r="AG85" i="1"/>
  <c r="AL89" i="1"/>
  <c r="AL95" i="1"/>
  <c r="AL96" i="1" s="1"/>
  <c r="AL97" i="1"/>
  <c r="AL98" i="1" s="1"/>
  <c r="AL93" i="1"/>
  <c r="AL94" i="1" s="1"/>
  <c r="AL99" i="1"/>
  <c r="AL91" i="1"/>
  <c r="AL92" i="1" s="1"/>
  <c r="AL69" i="1"/>
  <c r="AQ35" i="1"/>
  <c r="AP35" i="1" s="1"/>
  <c r="AL36" i="1"/>
  <c r="AL68" i="1"/>
  <c r="AL74" i="1"/>
  <c r="AL70" i="1"/>
  <c r="AL83" i="1"/>
  <c r="AL67" i="1"/>
  <c r="AL75" i="1"/>
  <c r="AL71" i="1"/>
  <c r="AL77" i="1"/>
  <c r="AL82" i="1"/>
  <c r="AL73" i="1"/>
  <c r="AL66" i="1"/>
  <c r="AL76" i="1"/>
  <c r="AL78" i="1"/>
  <c r="AL72" i="1"/>
  <c r="AL81" i="1"/>
  <c r="AL80" i="1"/>
  <c r="AL79" i="1"/>
  <c r="AM35" i="1" l="1"/>
  <c r="AO35" i="1"/>
  <c r="AN35" i="1"/>
  <c r="AM43" i="1"/>
  <c r="AM66" i="1"/>
  <c r="AM72" i="1"/>
  <c r="AM78" i="1"/>
  <c r="AM89" i="1"/>
  <c r="AM95" i="1"/>
  <c r="AM96" i="1" s="1"/>
  <c r="AM79" i="1"/>
  <c r="AM59" i="1"/>
  <c r="AM74" i="1"/>
  <c r="AM97" i="1"/>
  <c r="AM98" i="1" s="1"/>
  <c r="AM67" i="1"/>
  <c r="AM70" i="1"/>
  <c r="AM69" i="1"/>
  <c r="AM93" i="1"/>
  <c r="AM94" i="1" s="1"/>
  <c r="AM49" i="1"/>
  <c r="AM83" i="1"/>
  <c r="AM91" i="1"/>
  <c r="AM92" i="1" s="1"/>
  <c r="AM76" i="1"/>
  <c r="AM36" i="1"/>
  <c r="AM39" i="1"/>
  <c r="AM75" i="1"/>
  <c r="AM82" i="1"/>
  <c r="AP74" i="1"/>
  <c r="AP69" i="1"/>
  <c r="AP82" i="1"/>
  <c r="AP73" i="1"/>
  <c r="AP68" i="1"/>
  <c r="AP43" i="1"/>
  <c r="AP79" i="1"/>
  <c r="AP58" i="1"/>
  <c r="AP59" i="1" s="1"/>
  <c r="AP91" i="1"/>
  <c r="AP92" i="1" s="1"/>
  <c r="AP66" i="1"/>
  <c r="AP72" i="1"/>
  <c r="AP78" i="1"/>
  <c r="AP89" i="1"/>
  <c r="AP95" i="1"/>
  <c r="AP96" i="1" s="1"/>
  <c r="AP80" i="1"/>
  <c r="AP81" i="1"/>
  <c r="AP39" i="1"/>
  <c r="AP70" i="1"/>
  <c r="AP97" i="1"/>
  <c r="AP98" i="1" s="1"/>
  <c r="AP49" i="1"/>
  <c r="AP99" i="1"/>
  <c r="AP67" i="1"/>
  <c r="AP36" i="1"/>
  <c r="AP83" i="1"/>
  <c r="AP77" i="1"/>
  <c r="AP75" i="1"/>
  <c r="AP93" i="1"/>
  <c r="AP94" i="1" s="1"/>
  <c r="AP71" i="1"/>
  <c r="AP76" i="1"/>
  <c r="AQ39" i="1"/>
  <c r="AQ41" i="1" s="1"/>
  <c r="AQ58" i="1"/>
  <c r="AQ40" i="1"/>
  <c r="AQ78" i="1"/>
  <c r="AV35" i="1"/>
  <c r="AL57" i="1"/>
  <c r="AL59" i="1"/>
  <c r="AQ49" i="1"/>
  <c r="AQ43" i="1"/>
  <c r="AL40" i="1"/>
  <c r="AL52" i="1"/>
  <c r="AL51" i="1"/>
  <c r="AL50" i="1"/>
  <c r="AL53" i="1"/>
  <c r="AL56" i="1"/>
  <c r="AL85" i="1"/>
  <c r="AL101" i="1"/>
  <c r="AL90" i="1"/>
  <c r="AL102" i="1" s="1"/>
  <c r="AL84" i="1"/>
  <c r="AQ93" i="1"/>
  <c r="AQ94" i="1" s="1"/>
  <c r="AQ89" i="1"/>
  <c r="AQ95" i="1"/>
  <c r="AQ96" i="1" s="1"/>
  <c r="AQ91" i="1"/>
  <c r="AQ92" i="1" s="1"/>
  <c r="AQ97" i="1"/>
  <c r="AQ98" i="1" s="1"/>
  <c r="AQ99" i="1"/>
  <c r="AQ69" i="1"/>
  <c r="AQ68" i="1"/>
  <c r="AQ79" i="1"/>
  <c r="AQ73" i="1"/>
  <c r="AQ76" i="1"/>
  <c r="AQ67" i="1"/>
  <c r="AQ74" i="1"/>
  <c r="AQ72" i="1"/>
  <c r="AQ80" i="1"/>
  <c r="AQ77" i="1"/>
  <c r="AQ82" i="1"/>
  <c r="AQ75" i="1"/>
  <c r="AQ70" i="1"/>
  <c r="AQ36" i="1"/>
  <c r="AQ66" i="1"/>
  <c r="AQ83" i="1"/>
  <c r="AQ71" i="1"/>
  <c r="AQ81" i="1"/>
  <c r="AT35" i="1" l="1"/>
  <c r="AS35" i="1"/>
  <c r="AU35" i="1"/>
  <c r="AR35" i="1"/>
  <c r="AM71" i="1"/>
  <c r="AM81" i="1"/>
  <c r="AM68" i="1"/>
  <c r="AM73" i="1"/>
  <c r="AM77" i="1"/>
  <c r="AT39" i="1"/>
  <c r="AM99" i="1"/>
  <c r="AM101" i="1" s="1"/>
  <c r="AM80" i="1"/>
  <c r="AM84" i="1" s="1"/>
  <c r="AA44" i="1"/>
  <c r="V44" i="1"/>
  <c r="X45" i="1"/>
  <c r="X46" i="1" s="1"/>
  <c r="AP41" i="1"/>
  <c r="AP40" i="1"/>
  <c r="AP101" i="1"/>
  <c r="AP90" i="1"/>
  <c r="AP102" i="1" s="1"/>
  <c r="AP84" i="1"/>
  <c r="AP85" i="1"/>
  <c r="AM90" i="1"/>
  <c r="AM102" i="1" s="1"/>
  <c r="AN80" i="1"/>
  <c r="AN69" i="1"/>
  <c r="AN82" i="1"/>
  <c r="AN71" i="1"/>
  <c r="AN66" i="1"/>
  <c r="AN72" i="1"/>
  <c r="AN78" i="1"/>
  <c r="AN89" i="1"/>
  <c r="AN95" i="1"/>
  <c r="AN96" i="1" s="1"/>
  <c r="AN43" i="1"/>
  <c r="AN73" i="1"/>
  <c r="AN58" i="1"/>
  <c r="AN59" i="1" s="1"/>
  <c r="AN91" i="1"/>
  <c r="AN92" i="1" s="1"/>
  <c r="AN97" i="1"/>
  <c r="AN98" i="1" s="1"/>
  <c r="AN93" i="1"/>
  <c r="AN94" i="1" s="1"/>
  <c r="AN79" i="1"/>
  <c r="AN74" i="1"/>
  <c r="AN77" i="1"/>
  <c r="AN67" i="1"/>
  <c r="AN49" i="1"/>
  <c r="AN81" i="1"/>
  <c r="AN68" i="1"/>
  <c r="AN39" i="1"/>
  <c r="AN70" i="1"/>
  <c r="AN76" i="1"/>
  <c r="AN36" i="1"/>
  <c r="AN75" i="1"/>
  <c r="AN99" i="1"/>
  <c r="AN83" i="1"/>
  <c r="AM40" i="1"/>
  <c r="AM41" i="1"/>
  <c r="AO73" i="1"/>
  <c r="AO58" i="1"/>
  <c r="AO59" i="1" s="1"/>
  <c r="AO97" i="1"/>
  <c r="AO98" i="1" s="1"/>
  <c r="AO75" i="1"/>
  <c r="AO83" i="1"/>
  <c r="AO66" i="1"/>
  <c r="AO72" i="1"/>
  <c r="AO78" i="1"/>
  <c r="AO89" i="1"/>
  <c r="AO95" i="1"/>
  <c r="AO96" i="1" s="1"/>
  <c r="AO79" i="1"/>
  <c r="AO91" i="1"/>
  <c r="AO92" i="1" s="1"/>
  <c r="AO69" i="1"/>
  <c r="AO43" i="1"/>
  <c r="AO68" i="1"/>
  <c r="AO76" i="1"/>
  <c r="AO67" i="1"/>
  <c r="AO82" i="1"/>
  <c r="AO74" i="1"/>
  <c r="AO81" i="1"/>
  <c r="AO99" i="1"/>
  <c r="AO70" i="1"/>
  <c r="AO39" i="1"/>
  <c r="AO80" i="1"/>
  <c r="AO36" i="1"/>
  <c r="AO49" i="1"/>
  <c r="AO93" i="1"/>
  <c r="AO94" i="1" s="1"/>
  <c r="AO71" i="1"/>
  <c r="AO77" i="1"/>
  <c r="AV58" i="1"/>
  <c r="AV59" i="1" s="1"/>
  <c r="AV39" i="1"/>
  <c r="AV41" i="1" s="1"/>
  <c r="AV93" i="1"/>
  <c r="AV94" i="1" s="1"/>
  <c r="AV97" i="1"/>
  <c r="AV98" i="1" s="1"/>
  <c r="AV66" i="1"/>
  <c r="AV68" i="1"/>
  <c r="AV70" i="1"/>
  <c r="AV72" i="1"/>
  <c r="AV74" i="1"/>
  <c r="AV76" i="1"/>
  <c r="AV78" i="1"/>
  <c r="AV80" i="1"/>
  <c r="AV82" i="1"/>
  <c r="AV91" i="1"/>
  <c r="AV92" i="1" s="1"/>
  <c r="AV89" i="1"/>
  <c r="AV95" i="1"/>
  <c r="AV96" i="1" s="1"/>
  <c r="AV99" i="1"/>
  <c r="AV67" i="1"/>
  <c r="AV69" i="1"/>
  <c r="AV71" i="1"/>
  <c r="AV73" i="1"/>
  <c r="AV75" i="1"/>
  <c r="AV77" i="1"/>
  <c r="AV79" i="1"/>
  <c r="AV81" i="1"/>
  <c r="AV83" i="1"/>
  <c r="BA35" i="1"/>
  <c r="AV36" i="1"/>
  <c r="AV43" i="1"/>
  <c r="AV49" i="1"/>
  <c r="AQ57" i="1"/>
  <c r="AQ59" i="1"/>
  <c r="AQ53" i="1"/>
  <c r="AQ50" i="1"/>
  <c r="AQ56" i="1"/>
  <c r="AQ51" i="1"/>
  <c r="AQ52" i="1"/>
  <c r="AQ85" i="1"/>
  <c r="AQ84" i="1"/>
  <c r="AQ90" i="1"/>
  <c r="AQ102" i="1" s="1"/>
  <c r="AQ101" i="1"/>
  <c r="BA93" i="1" l="1"/>
  <c r="BA94" i="1" s="1"/>
  <c r="BA79" i="1"/>
  <c r="BA67" i="1"/>
  <c r="BA76" i="1"/>
  <c r="BA71" i="1"/>
  <c r="BA83" i="1"/>
  <c r="BA72" i="1"/>
  <c r="BA74" i="1"/>
  <c r="BA77" i="1"/>
  <c r="BA97" i="1"/>
  <c r="BA98" i="1" s="1"/>
  <c r="BA95" i="1"/>
  <c r="BA96" i="1" s="1"/>
  <c r="BA78" i="1"/>
  <c r="BA89" i="1"/>
  <c r="BA66" i="1"/>
  <c r="BA68" i="1"/>
  <c r="BA91" i="1"/>
  <c r="BA92" i="1" s="1"/>
  <c r="BA69" i="1"/>
  <c r="BA75" i="1"/>
  <c r="BA73" i="1"/>
  <c r="BA99" i="1"/>
  <c r="BA80" i="1"/>
  <c r="BA81" i="1"/>
  <c r="BA82" i="1"/>
  <c r="BA70" i="1"/>
  <c r="AW35" i="1"/>
  <c r="AZ35" i="1"/>
  <c r="W47" i="1"/>
  <c r="W48" i="1" s="1"/>
  <c r="Y47" i="1"/>
  <c r="Y48" i="1" s="1"/>
  <c r="AX35" i="1"/>
  <c r="AX73" i="1" s="1"/>
  <c r="W42" i="1"/>
  <c r="AY35" i="1"/>
  <c r="AY73" i="1" s="1"/>
  <c r="Y45" i="1"/>
  <c r="AB42" i="1"/>
  <c r="X47" i="1"/>
  <c r="X48" i="1" s="1"/>
  <c r="U42" i="1"/>
  <c r="X44" i="1"/>
  <c r="S42" i="1"/>
  <c r="S44" i="1"/>
  <c r="Y42" i="1"/>
  <c r="W44" i="1"/>
  <c r="W45" i="1"/>
  <c r="W46" i="1" s="1"/>
  <c r="AA47" i="1"/>
  <c r="AA48" i="1" s="1"/>
  <c r="T42" i="1"/>
  <c r="S45" i="1"/>
  <c r="S46" i="1" s="1"/>
  <c r="AB45" i="1"/>
  <c r="AC47" i="1"/>
  <c r="AC48" i="1" s="1"/>
  <c r="X42" i="1"/>
  <c r="Z47" i="1"/>
  <c r="Z48" i="1" s="1"/>
  <c r="U45" i="1"/>
  <c r="U46" i="1" s="1"/>
  <c r="AB47" i="1"/>
  <c r="AB48" i="1" s="1"/>
  <c r="U47" i="1"/>
  <c r="U48" i="1" s="1"/>
  <c r="AC42" i="1"/>
  <c r="AC45" i="1"/>
  <c r="AM47" i="1"/>
  <c r="AM48" i="1" s="1"/>
  <c r="AA42" i="1"/>
  <c r="V47" i="1"/>
  <c r="V48" i="1" s="1"/>
  <c r="T47" i="1"/>
  <c r="T48" i="1" s="1"/>
  <c r="AE42" i="1"/>
  <c r="AM45" i="1"/>
  <c r="V42" i="1"/>
  <c r="S47" i="1"/>
  <c r="S48" i="1" s="1"/>
  <c r="V45" i="1"/>
  <c r="V46" i="1" s="1"/>
  <c r="AN47" i="1"/>
  <c r="AN48" i="1" s="1"/>
  <c r="AN44" i="1"/>
  <c r="AD44" i="1"/>
  <c r="T44" i="1"/>
  <c r="Z42" i="1"/>
  <c r="U44" i="1"/>
  <c r="AE47" i="1"/>
  <c r="AE48" i="1" s="1"/>
  <c r="AM42" i="1"/>
  <c r="T45" i="1"/>
  <c r="T46" i="1" s="1"/>
  <c r="AA45" i="1"/>
  <c r="Z45" i="1"/>
  <c r="AD47" i="1"/>
  <c r="AD48" i="1" s="1"/>
  <c r="AC44" i="1"/>
  <c r="AN45" i="1"/>
  <c r="AM44" i="1"/>
  <c r="Z44" i="1"/>
  <c r="AD42" i="1"/>
  <c r="AE44" i="1"/>
  <c r="R45" i="1"/>
  <c r="R46" i="1" s="1"/>
  <c r="AB44" i="1"/>
  <c r="Y44" i="1"/>
  <c r="AM85" i="1"/>
  <c r="AT74" i="1"/>
  <c r="AT80" i="1"/>
  <c r="AT67" i="1"/>
  <c r="AT36" i="1"/>
  <c r="AT97" i="1"/>
  <c r="AT98" i="1" s="1"/>
  <c r="AT73" i="1"/>
  <c r="AT58" i="1"/>
  <c r="AT59" i="1" s="1"/>
  <c r="AU47" i="1" s="1"/>
  <c r="AU48" i="1" s="1"/>
  <c r="AT93" i="1"/>
  <c r="AT94" i="1" s="1"/>
  <c r="AT66" i="1"/>
  <c r="AT72" i="1"/>
  <c r="AY43" i="1"/>
  <c r="AY91" i="1"/>
  <c r="AY92" i="1" s="1"/>
  <c r="AY66" i="1"/>
  <c r="AY72" i="1"/>
  <c r="AY78" i="1"/>
  <c r="AY89" i="1"/>
  <c r="AY95" i="1"/>
  <c r="AY96" i="1" s="1"/>
  <c r="AY67" i="1"/>
  <c r="AY68" i="1"/>
  <c r="AY97" i="1"/>
  <c r="AY98" i="1" s="1"/>
  <c r="AY70" i="1"/>
  <c r="AY58" i="1"/>
  <c r="AY59" i="1" s="1"/>
  <c r="AY74" i="1"/>
  <c r="AY82" i="1"/>
  <c r="AY75" i="1"/>
  <c r="AY79" i="1"/>
  <c r="AY69" i="1"/>
  <c r="AY81" i="1"/>
  <c r="AY76" i="1"/>
  <c r="AY71" i="1"/>
  <c r="AW47" i="1"/>
  <c r="AW48" i="1" s="1"/>
  <c r="AW45" i="1"/>
  <c r="AT76" i="1"/>
  <c r="AW66" i="1"/>
  <c r="AW72" i="1"/>
  <c r="AW78" i="1"/>
  <c r="AW89" i="1"/>
  <c r="AW95" i="1"/>
  <c r="AW96" i="1" s="1"/>
  <c r="AW67" i="1"/>
  <c r="AW58" i="1"/>
  <c r="AW59" i="1" s="1"/>
  <c r="AW91" i="1"/>
  <c r="AW92" i="1" s="1"/>
  <c r="AW73" i="1"/>
  <c r="AW43" i="1"/>
  <c r="AW44" i="1" s="1"/>
  <c r="AW80" i="1"/>
  <c r="AW97" i="1"/>
  <c r="AW98" i="1" s="1"/>
  <c r="AW36" i="1"/>
  <c r="AW93" i="1"/>
  <c r="AW94" i="1" s="1"/>
  <c r="AW49" i="1"/>
  <c r="AW68" i="1"/>
  <c r="AW99" i="1"/>
  <c r="AW74" i="1"/>
  <c r="AW79" i="1"/>
  <c r="AW82" i="1"/>
  <c r="AW83" i="1"/>
  <c r="AW69" i="1"/>
  <c r="AW75" i="1"/>
  <c r="AW76" i="1"/>
  <c r="AW81" i="1"/>
  <c r="AW71" i="1"/>
  <c r="AW70" i="1"/>
  <c r="AW39" i="1"/>
  <c r="AW77" i="1"/>
  <c r="AT75" i="1"/>
  <c r="AT91" i="1"/>
  <c r="AT92" i="1" s="1"/>
  <c r="AX68" i="1"/>
  <c r="AX97" i="1"/>
  <c r="AX98" i="1" s="1"/>
  <c r="AX70" i="1"/>
  <c r="AX66" i="1"/>
  <c r="AX72" i="1"/>
  <c r="AX78" i="1"/>
  <c r="AX89" i="1"/>
  <c r="AX95" i="1"/>
  <c r="AX96" i="1" s="1"/>
  <c r="AX58" i="1"/>
  <c r="AX59" i="1" s="1"/>
  <c r="AX74" i="1"/>
  <c r="AX91" i="1"/>
  <c r="AX92" i="1" s="1"/>
  <c r="AX39" i="1"/>
  <c r="AX43" i="1"/>
  <c r="AX71" i="1"/>
  <c r="AX79" i="1"/>
  <c r="AX80" i="1"/>
  <c r="AX69" i="1"/>
  <c r="AX36" i="1"/>
  <c r="AX76" i="1"/>
  <c r="AX81" i="1"/>
  <c r="AX67" i="1"/>
  <c r="AX99" i="1"/>
  <c r="AX93" i="1"/>
  <c r="AX94" i="1" s="1"/>
  <c r="AX83" i="1"/>
  <c r="AX49" i="1"/>
  <c r="AX75" i="1"/>
  <c r="AX82" i="1"/>
  <c r="AX77" i="1"/>
  <c r="AT77" i="1"/>
  <c r="AT79" i="1"/>
  <c r="AT99" i="1"/>
  <c r="AT43" i="1"/>
  <c r="AT49" i="1"/>
  <c r="AT95" i="1"/>
  <c r="AT96" i="1" s="1"/>
  <c r="AT71" i="1"/>
  <c r="AT89" i="1"/>
  <c r="AT90" i="1" s="1"/>
  <c r="AL42" i="1"/>
  <c r="AT82" i="1"/>
  <c r="AT78" i="1"/>
  <c r="AT81" i="1"/>
  <c r="AT70" i="1"/>
  <c r="AT68" i="1"/>
  <c r="AT69" i="1"/>
  <c r="AT83" i="1"/>
  <c r="AS58" i="1"/>
  <c r="AS59" i="1" s="1"/>
  <c r="AS73" i="1"/>
  <c r="AS80" i="1"/>
  <c r="AS36" i="1"/>
  <c r="AS77" i="1"/>
  <c r="AS66" i="1"/>
  <c r="AS72" i="1"/>
  <c r="AS78" i="1"/>
  <c r="AS89" i="1"/>
  <c r="AS95" i="1"/>
  <c r="AS96" i="1" s="1"/>
  <c r="AS43" i="1"/>
  <c r="AS74" i="1"/>
  <c r="AS99" i="1"/>
  <c r="AS49" i="1"/>
  <c r="AS81" i="1"/>
  <c r="AS93" i="1"/>
  <c r="AS94" i="1" s="1"/>
  <c r="AS79" i="1"/>
  <c r="AS68" i="1"/>
  <c r="AS70" i="1"/>
  <c r="AS67" i="1"/>
  <c r="AS97" i="1"/>
  <c r="AS98" i="1" s="1"/>
  <c r="AS82" i="1"/>
  <c r="AS83" i="1"/>
  <c r="AS75" i="1"/>
  <c r="AS91" i="1"/>
  <c r="AS92" i="1" s="1"/>
  <c r="AS69" i="1"/>
  <c r="AS71" i="1"/>
  <c r="AS76" i="1"/>
  <c r="AS39" i="1"/>
  <c r="AR47" i="1"/>
  <c r="AR48" i="1" s="1"/>
  <c r="AR45" i="1"/>
  <c r="AT41" i="1"/>
  <c r="AT40" i="1"/>
  <c r="AU79" i="1"/>
  <c r="AU39" i="1"/>
  <c r="AU77" i="1"/>
  <c r="AU43" i="1"/>
  <c r="AU73" i="1"/>
  <c r="AU74" i="1"/>
  <c r="AU81" i="1"/>
  <c r="AU70" i="1"/>
  <c r="AU66" i="1"/>
  <c r="AU72" i="1"/>
  <c r="AU78" i="1"/>
  <c r="AU89" i="1"/>
  <c r="AU95" i="1"/>
  <c r="AU96" i="1" s="1"/>
  <c r="AU67" i="1"/>
  <c r="AU97" i="1"/>
  <c r="AU98" i="1" s="1"/>
  <c r="AU83" i="1"/>
  <c r="AU58" i="1"/>
  <c r="AU59" i="1" s="1"/>
  <c r="AV44" i="1" s="1"/>
  <c r="AU80" i="1"/>
  <c r="AU69" i="1"/>
  <c r="AU68" i="1"/>
  <c r="AU36" i="1"/>
  <c r="AU82" i="1"/>
  <c r="AU91" i="1"/>
  <c r="AU92" i="1" s="1"/>
  <c r="AU93" i="1"/>
  <c r="AU94" i="1" s="1"/>
  <c r="AU76" i="1"/>
  <c r="AU75" i="1"/>
  <c r="AU99" i="1"/>
  <c r="AU49" i="1"/>
  <c r="AU71" i="1"/>
  <c r="AR66" i="1"/>
  <c r="AR72" i="1"/>
  <c r="AR78" i="1"/>
  <c r="AR89" i="1"/>
  <c r="AR95" i="1"/>
  <c r="AR96" i="1" s="1"/>
  <c r="AR69" i="1"/>
  <c r="AR49" i="1"/>
  <c r="AR97" i="1"/>
  <c r="AR98" i="1" s="1"/>
  <c r="AR74" i="1"/>
  <c r="AR39" i="1"/>
  <c r="AR58" i="1"/>
  <c r="AR59" i="1" s="1"/>
  <c r="AS47" i="1" s="1"/>
  <c r="AS48" i="1" s="1"/>
  <c r="AR43" i="1"/>
  <c r="AR44" i="1" s="1"/>
  <c r="AR80" i="1"/>
  <c r="AR75" i="1"/>
  <c r="AR93" i="1"/>
  <c r="AR94" i="1" s="1"/>
  <c r="AR83" i="1"/>
  <c r="AR67" i="1"/>
  <c r="AR73" i="1"/>
  <c r="AR79" i="1"/>
  <c r="AR68" i="1"/>
  <c r="AR91" i="1"/>
  <c r="AR92" i="1" s="1"/>
  <c r="AR81" i="1"/>
  <c r="AR71" i="1"/>
  <c r="AR76" i="1"/>
  <c r="AR82" i="1"/>
  <c r="AR70" i="1"/>
  <c r="AR36" i="1"/>
  <c r="AR99" i="1"/>
  <c r="AR77" i="1"/>
  <c r="R37" i="1"/>
  <c r="R38" i="1" s="1"/>
  <c r="V37" i="1"/>
  <c r="V38" i="1" s="1"/>
  <c r="Y46" i="1"/>
  <c r="Y37" i="1" s="1"/>
  <c r="Y38" i="1" s="1"/>
  <c r="X37" i="1"/>
  <c r="X38" i="1" s="1"/>
  <c r="AP44" i="1"/>
  <c r="AN101" i="1"/>
  <c r="AN90" i="1"/>
  <c r="AN102" i="1" s="1"/>
  <c r="AO40" i="1"/>
  <c r="AO41" i="1"/>
  <c r="AO84" i="1"/>
  <c r="AO42" i="1"/>
  <c r="AO45" i="1"/>
  <c r="AO47" i="1"/>
  <c r="AO48" i="1" s="1"/>
  <c r="AO44" i="1"/>
  <c r="AN40" i="1"/>
  <c r="AN41" i="1"/>
  <c r="AN42" i="1" s="1"/>
  <c r="AO101" i="1"/>
  <c r="AO90" i="1"/>
  <c r="AO102" i="1" s="1"/>
  <c r="AN84" i="1"/>
  <c r="AP45" i="1"/>
  <c r="AP47" i="1"/>
  <c r="AP48" i="1" s="1"/>
  <c r="AP42" i="1"/>
  <c r="AO85" i="1"/>
  <c r="AN85" i="1"/>
  <c r="AF42" i="1"/>
  <c r="AG42" i="1"/>
  <c r="BA58" i="1"/>
  <c r="D31" i="1"/>
  <c r="AQ42" i="1"/>
  <c r="AV84" i="1"/>
  <c r="AV85" i="1"/>
  <c r="BA39" i="1"/>
  <c r="AV90" i="1"/>
  <c r="AV102" i="1" s="1"/>
  <c r="AV101" i="1"/>
  <c r="AV40" i="1"/>
  <c r="BA36" i="1"/>
  <c r="BA49" i="1"/>
  <c r="BA43" i="1"/>
  <c r="BF35" i="1"/>
  <c r="BD35" i="1" s="1"/>
  <c r="AD45" i="1"/>
  <c r="AQ45" i="1"/>
  <c r="BN57" i="1"/>
  <c r="BN59" i="1"/>
  <c r="BN45" i="1" s="1"/>
  <c r="BN53" i="1"/>
  <c r="BN50" i="1"/>
  <c r="BO34" i="1"/>
  <c r="BN52" i="1"/>
  <c r="BN51" i="1"/>
  <c r="AY77" i="1" l="1"/>
  <c r="BD83" i="1"/>
  <c r="BD77" i="1"/>
  <c r="BD43" i="1"/>
  <c r="BD73" i="1"/>
  <c r="BD75" i="1"/>
  <c r="BD70" i="1"/>
  <c r="BD76" i="1"/>
  <c r="BD82" i="1"/>
  <c r="BD93" i="1"/>
  <c r="BD94" i="1" s="1"/>
  <c r="BD91" i="1"/>
  <c r="BD89" i="1"/>
  <c r="BD90" i="1" s="1"/>
  <c r="BD49" i="1"/>
  <c r="BD95" i="1"/>
  <c r="BD96" i="1" s="1"/>
  <c r="BD71" i="1"/>
  <c r="BD58" i="1"/>
  <c r="BD66" i="1"/>
  <c r="BD72" i="1"/>
  <c r="BD78" i="1"/>
  <c r="BD79" i="1"/>
  <c r="BD74" i="1"/>
  <c r="BD36" i="1"/>
  <c r="BD69" i="1"/>
  <c r="BD67" i="1"/>
  <c r="BD97" i="1"/>
  <c r="BD98" i="1" s="1"/>
  <c r="BD68" i="1"/>
  <c r="BD99" i="1"/>
  <c r="BD80" i="1"/>
  <c r="BD81" i="1"/>
  <c r="BD39" i="1"/>
  <c r="BA90" i="1"/>
  <c r="BA102" i="1" s="1"/>
  <c r="BA101" i="1"/>
  <c r="AV42" i="1"/>
  <c r="S37" i="1"/>
  <c r="S38" i="1" s="1"/>
  <c r="BB35" i="1"/>
  <c r="AM46" i="1"/>
  <c r="AM37" i="1" s="1"/>
  <c r="AM38" i="1" s="1"/>
  <c r="BC35" i="1"/>
  <c r="AC46" i="1"/>
  <c r="AC37" i="1" s="1"/>
  <c r="AC38" i="1" s="1"/>
  <c r="AZ67" i="1"/>
  <c r="AZ77" i="1"/>
  <c r="AZ80" i="1"/>
  <c r="AZ89" i="1"/>
  <c r="AZ58" i="1"/>
  <c r="AZ59" i="1" s="1"/>
  <c r="AZ36" i="1"/>
  <c r="AZ68" i="1"/>
  <c r="AZ84" i="1" s="1"/>
  <c r="AZ69" i="1"/>
  <c r="AZ97" i="1"/>
  <c r="AZ98" i="1" s="1"/>
  <c r="AZ83" i="1"/>
  <c r="AZ39" i="1"/>
  <c r="AZ70" i="1"/>
  <c r="AZ49" i="1"/>
  <c r="AZ99" i="1"/>
  <c r="AZ72" i="1"/>
  <c r="AZ71" i="1"/>
  <c r="AZ79" i="1"/>
  <c r="AZ76" i="1"/>
  <c r="AZ91" i="1"/>
  <c r="AZ92" i="1" s="1"/>
  <c r="AZ75" i="1"/>
  <c r="AZ81" i="1"/>
  <c r="AZ93" i="1"/>
  <c r="AZ94" i="1" s="1"/>
  <c r="AZ82" i="1"/>
  <c r="AZ66" i="1"/>
  <c r="AZ78" i="1"/>
  <c r="AZ74" i="1"/>
  <c r="AZ73" i="1"/>
  <c r="AZ95" i="1"/>
  <c r="AZ96" i="1" s="1"/>
  <c r="AZ43" i="1"/>
  <c r="AZ44" i="1" s="1"/>
  <c r="AN46" i="1"/>
  <c r="AN37" i="1" s="1"/>
  <c r="AN38" i="1" s="1"/>
  <c r="BA85" i="1"/>
  <c r="BA44" i="1"/>
  <c r="AT44" i="1"/>
  <c r="AY49" i="1"/>
  <c r="AY83" i="1"/>
  <c r="AY85" i="1" s="1"/>
  <c r="AV45" i="1"/>
  <c r="AV47" i="1"/>
  <c r="AV48" i="1" s="1"/>
  <c r="AY93" i="1"/>
  <c r="AY94" i="1" s="1"/>
  <c r="AY39" i="1"/>
  <c r="BF89" i="1"/>
  <c r="BF93" i="1"/>
  <c r="BF94" i="1" s="1"/>
  <c r="BF97" i="1"/>
  <c r="BF98" i="1" s="1"/>
  <c r="BF66" i="1"/>
  <c r="BF70" i="1"/>
  <c r="BF74" i="1"/>
  <c r="BF78" i="1"/>
  <c r="BF82" i="1"/>
  <c r="BF76" i="1"/>
  <c r="BF67" i="1"/>
  <c r="BF71" i="1"/>
  <c r="BF75" i="1"/>
  <c r="BF79" i="1"/>
  <c r="BF83" i="1"/>
  <c r="BF91" i="1"/>
  <c r="BF92" i="1" s="1"/>
  <c r="BF95" i="1"/>
  <c r="BF96" i="1" s="1"/>
  <c r="BF99" i="1"/>
  <c r="BF80" i="1"/>
  <c r="BF68" i="1"/>
  <c r="BF72" i="1"/>
  <c r="BF69" i="1"/>
  <c r="BF73" i="1"/>
  <c r="BF77" i="1"/>
  <c r="BF81" i="1"/>
  <c r="AU44" i="1"/>
  <c r="AY36" i="1"/>
  <c r="AY80" i="1"/>
  <c r="BE35" i="1"/>
  <c r="AY99" i="1"/>
  <c r="BA84" i="1"/>
  <c r="Z46" i="1"/>
  <c r="Z37" i="1" s="1"/>
  <c r="Z38" i="1" s="1"/>
  <c r="T37" i="1"/>
  <c r="T38" i="1" s="1"/>
  <c r="W37" i="1"/>
  <c r="W38" i="1" s="1"/>
  <c r="AD46" i="1"/>
  <c r="AD37" i="1" s="1"/>
  <c r="AD38" i="1" s="1"/>
  <c r="AB46" i="1"/>
  <c r="U37" i="1"/>
  <c r="U38" i="1" s="1"/>
  <c r="AA46" i="1"/>
  <c r="AA37" i="1" s="1"/>
  <c r="AA38" i="1" s="1"/>
  <c r="AT42" i="1"/>
  <c r="AB37" i="1"/>
  <c r="AB38" i="1" s="1"/>
  <c r="AS45" i="1"/>
  <c r="AS46" i="1" s="1"/>
  <c r="AW46" i="1"/>
  <c r="AW37" i="1" s="1"/>
  <c r="AW38" i="1" s="1"/>
  <c r="AZ45" i="1"/>
  <c r="AX84" i="1"/>
  <c r="AT102" i="1"/>
  <c r="AT85" i="1"/>
  <c r="AT84" i="1"/>
  <c r="AW85" i="1"/>
  <c r="AW41" i="1"/>
  <c r="AW42" i="1" s="1"/>
  <c r="AW40" i="1"/>
  <c r="AW101" i="1"/>
  <c r="AW90" i="1"/>
  <c r="AW102" i="1" s="1"/>
  <c r="AX47" i="1"/>
  <c r="AX48" i="1" s="1"/>
  <c r="AS44" i="1"/>
  <c r="AX45" i="1"/>
  <c r="AX85" i="1"/>
  <c r="AY84" i="1"/>
  <c r="AX44" i="1"/>
  <c r="AY101" i="1"/>
  <c r="AY90" i="1"/>
  <c r="AY102" i="1" s="1"/>
  <c r="AX41" i="1"/>
  <c r="AX42" i="1" s="1"/>
  <c r="AX40" i="1"/>
  <c r="AT101" i="1"/>
  <c r="AY45" i="1"/>
  <c r="AY47" i="1"/>
  <c r="AY48" i="1" s="1"/>
  <c r="AW84" i="1"/>
  <c r="AY44" i="1"/>
  <c r="AT47" i="1"/>
  <c r="AT48" i="1" s="1"/>
  <c r="AT45" i="1"/>
  <c r="AX101" i="1"/>
  <c r="AX90" i="1"/>
  <c r="AX102" i="1" s="1"/>
  <c r="AU45" i="1"/>
  <c r="AU46" i="1" s="1"/>
  <c r="AY41" i="1"/>
  <c r="AY42" i="1" s="1"/>
  <c r="AY40" i="1"/>
  <c r="AR46" i="1"/>
  <c r="AR37" i="1" s="1"/>
  <c r="AR38" i="1" s="1"/>
  <c r="AR85" i="1"/>
  <c r="AR101" i="1"/>
  <c r="AR90" i="1"/>
  <c r="AR102" i="1" s="1"/>
  <c r="AU101" i="1"/>
  <c r="AU90" i="1"/>
  <c r="AU102" i="1" s="1"/>
  <c r="AS84" i="1"/>
  <c r="AR84" i="1"/>
  <c r="AU41" i="1"/>
  <c r="AU42" i="1" s="1"/>
  <c r="AU40" i="1"/>
  <c r="AS101" i="1"/>
  <c r="AS90" i="1"/>
  <c r="AS102" i="1" s="1"/>
  <c r="AU84" i="1"/>
  <c r="AS41" i="1"/>
  <c r="AS42" i="1" s="1"/>
  <c r="AS40" i="1"/>
  <c r="AU85" i="1"/>
  <c r="AS85" i="1"/>
  <c r="AR40" i="1"/>
  <c r="AR41" i="1"/>
  <c r="AR42" i="1" s="1"/>
  <c r="AP46" i="1"/>
  <c r="AP37" i="1" s="1"/>
  <c r="AP38" i="1" s="1"/>
  <c r="AO46" i="1"/>
  <c r="AO37" i="1" s="1"/>
  <c r="AO38" i="1" s="1"/>
  <c r="BF39" i="1"/>
  <c r="BF40" i="1" s="1"/>
  <c r="BF58" i="1"/>
  <c r="BA59" i="1"/>
  <c r="BA40" i="1"/>
  <c r="BA41" i="1"/>
  <c r="AV46" i="1"/>
  <c r="AV37" i="1" s="1"/>
  <c r="AV38" i="1" s="1"/>
  <c r="AL44" i="1"/>
  <c r="BF36" i="1"/>
  <c r="BF43" i="1"/>
  <c r="BF49" i="1"/>
  <c r="BK35" i="1"/>
  <c r="BJ35" i="1" s="1"/>
  <c r="AQ47" i="1"/>
  <c r="AQ48" i="1" s="1"/>
  <c r="AQ46" i="1" s="1"/>
  <c r="AG45" i="1"/>
  <c r="AE45" i="1"/>
  <c r="AE46" i="1" s="1"/>
  <c r="AG44" i="1"/>
  <c r="AQ44" i="1"/>
  <c r="AF45" i="1"/>
  <c r="AL47" i="1"/>
  <c r="AL48" i="1" s="1"/>
  <c r="AF47" i="1"/>
  <c r="AF48" i="1" s="1"/>
  <c r="AF44" i="1"/>
  <c r="AL45" i="1"/>
  <c r="AG47" i="1"/>
  <c r="AG48" i="1" s="1"/>
  <c r="BO57" i="1"/>
  <c r="BO56" i="1"/>
  <c r="BO59" i="1"/>
  <c r="AZ47" i="1" s="1"/>
  <c r="AZ48" i="1" s="1"/>
  <c r="AU37" i="1" l="1"/>
  <c r="AU38" i="1" s="1"/>
  <c r="BD85" i="1"/>
  <c r="BA42" i="1"/>
  <c r="BJ79" i="1"/>
  <c r="BJ36" i="1"/>
  <c r="BJ69" i="1"/>
  <c r="BJ73" i="1"/>
  <c r="BJ77" i="1"/>
  <c r="BJ81" i="1"/>
  <c r="BJ71" i="1"/>
  <c r="BJ89" i="1"/>
  <c r="BJ93" i="1"/>
  <c r="BJ94" i="1" s="1"/>
  <c r="BJ97" i="1"/>
  <c r="BJ98" i="1" s="1"/>
  <c r="BJ49" i="1"/>
  <c r="BJ39" i="1"/>
  <c r="BJ83" i="1"/>
  <c r="BJ95" i="1"/>
  <c r="BJ96" i="1" s="1"/>
  <c r="BJ66" i="1"/>
  <c r="BJ70" i="1"/>
  <c r="BJ74" i="1"/>
  <c r="BJ78" i="1"/>
  <c r="BJ82" i="1"/>
  <c r="BJ91" i="1"/>
  <c r="BJ92" i="1" s="1"/>
  <c r="BJ99" i="1"/>
  <c r="BJ43" i="1"/>
  <c r="BJ44" i="1" s="1"/>
  <c r="BJ67" i="1"/>
  <c r="BJ75" i="1"/>
  <c r="BJ80" i="1"/>
  <c r="BJ68" i="1"/>
  <c r="BJ72" i="1"/>
  <c r="BJ76" i="1"/>
  <c r="AZ41" i="1"/>
  <c r="AZ42" i="1" s="1"/>
  <c r="AZ40" i="1"/>
  <c r="BA47" i="1"/>
  <c r="BA48" i="1" s="1"/>
  <c r="BA45" i="1"/>
  <c r="AZ101" i="1"/>
  <c r="AZ90" i="1"/>
  <c r="AZ102" i="1" s="1"/>
  <c r="BI35" i="1"/>
  <c r="BD59" i="1"/>
  <c r="BI58" i="1"/>
  <c r="BI59" i="1" s="1"/>
  <c r="AZ85" i="1"/>
  <c r="BE89" i="1"/>
  <c r="BE93" i="1"/>
  <c r="BE94" i="1" s="1"/>
  <c r="BE97" i="1"/>
  <c r="BE98" i="1" s="1"/>
  <c r="BE43" i="1"/>
  <c r="BE44" i="1" s="1"/>
  <c r="BE66" i="1"/>
  <c r="BE70" i="1"/>
  <c r="BE74" i="1"/>
  <c r="BE78" i="1"/>
  <c r="BE82" i="1"/>
  <c r="BE81" i="1"/>
  <c r="BE49" i="1"/>
  <c r="BE69" i="1"/>
  <c r="BE67" i="1"/>
  <c r="BE71" i="1"/>
  <c r="BE75" i="1"/>
  <c r="BE79" i="1"/>
  <c r="BE83" i="1"/>
  <c r="BE77" i="1"/>
  <c r="BE91" i="1"/>
  <c r="BE92" i="1" s="1"/>
  <c r="BE95" i="1"/>
  <c r="BE96" i="1" s="1"/>
  <c r="BE99" i="1"/>
  <c r="BE58" i="1"/>
  <c r="BE80" i="1"/>
  <c r="BE39" i="1"/>
  <c r="BE68" i="1"/>
  <c r="BE72" i="1"/>
  <c r="BE76" i="1"/>
  <c r="BE36" i="1"/>
  <c r="BE73" i="1"/>
  <c r="BC39" i="1"/>
  <c r="BC76" i="1"/>
  <c r="BC74" i="1"/>
  <c r="BC70" i="1"/>
  <c r="BC82" i="1"/>
  <c r="BC72" i="1"/>
  <c r="BC93" i="1"/>
  <c r="BC94" i="1" s="1"/>
  <c r="BC49" i="1"/>
  <c r="BC95" i="1"/>
  <c r="BC96" i="1" s="1"/>
  <c r="BC80" i="1"/>
  <c r="BC73" i="1"/>
  <c r="BC68" i="1"/>
  <c r="BC58" i="1"/>
  <c r="BC36" i="1"/>
  <c r="BC91" i="1"/>
  <c r="BC71" i="1"/>
  <c r="BC77" i="1"/>
  <c r="BC83" i="1"/>
  <c r="BC43" i="1"/>
  <c r="BC66" i="1"/>
  <c r="BC69" i="1"/>
  <c r="BC75" i="1"/>
  <c r="BC79" i="1"/>
  <c r="BC97" i="1"/>
  <c r="BC98" i="1" s="1"/>
  <c r="BC89" i="1"/>
  <c r="BC90" i="1" s="1"/>
  <c r="BC78" i="1"/>
  <c r="BC67" i="1"/>
  <c r="BC99" i="1"/>
  <c r="BC81" i="1"/>
  <c r="BF84" i="1"/>
  <c r="BB70" i="1"/>
  <c r="BB76" i="1"/>
  <c r="BB82" i="1"/>
  <c r="BB93" i="1"/>
  <c r="BB94" i="1" s="1"/>
  <c r="BB89" i="1"/>
  <c r="BB90" i="1" s="1"/>
  <c r="BB75" i="1"/>
  <c r="BB43" i="1"/>
  <c r="BB44" i="1" s="1"/>
  <c r="BB72" i="1"/>
  <c r="BB71" i="1"/>
  <c r="BB83" i="1"/>
  <c r="BB73" i="1"/>
  <c r="BB36" i="1"/>
  <c r="BB99" i="1"/>
  <c r="BB78" i="1"/>
  <c r="BB77" i="1"/>
  <c r="BB49" i="1"/>
  <c r="BB95" i="1"/>
  <c r="BB96" i="1" s="1"/>
  <c r="BB69" i="1"/>
  <c r="BB74" i="1"/>
  <c r="BB97" i="1"/>
  <c r="BB98" i="1" s="1"/>
  <c r="BB80" i="1"/>
  <c r="BB66" i="1"/>
  <c r="BB79" i="1"/>
  <c r="BB67" i="1"/>
  <c r="BB68" i="1"/>
  <c r="BB58" i="1"/>
  <c r="BB39" i="1"/>
  <c r="BB91" i="1"/>
  <c r="BB81" i="1"/>
  <c r="BD101" i="1"/>
  <c r="BD92" i="1"/>
  <c r="BD102" i="1" s="1"/>
  <c r="BB47" i="1"/>
  <c r="BB48" i="1" s="1"/>
  <c r="BB45" i="1"/>
  <c r="BG35" i="1"/>
  <c r="BF101" i="1"/>
  <c r="BF90" i="1"/>
  <c r="BF102" i="1" s="1"/>
  <c r="BD84" i="1"/>
  <c r="BF85" i="1"/>
  <c r="BH35" i="1"/>
  <c r="BD40" i="1"/>
  <c r="BD41" i="1"/>
  <c r="AX46" i="1"/>
  <c r="AX37" i="1" s="1"/>
  <c r="AX38" i="1" s="1"/>
  <c r="AS37" i="1"/>
  <c r="AS38" i="1" s="1"/>
  <c r="AZ46" i="1"/>
  <c r="AZ37" i="1" s="1"/>
  <c r="AZ38" i="1" s="1"/>
  <c r="AT46" i="1"/>
  <c r="AT37" i="1" s="1"/>
  <c r="AT38" i="1" s="1"/>
  <c r="AY46" i="1"/>
  <c r="AY37" i="1" s="1"/>
  <c r="AY38" i="1" s="1"/>
  <c r="BK58" i="1"/>
  <c r="BF59" i="1"/>
  <c r="BL35" i="1"/>
  <c r="BK39" i="1"/>
  <c r="BL68" i="1"/>
  <c r="BL80" i="1"/>
  <c r="BL70" i="1"/>
  <c r="BL91" i="1"/>
  <c r="BL92" i="1" s="1"/>
  <c r="BF41" i="1"/>
  <c r="BK89" i="1"/>
  <c r="BK95" i="1"/>
  <c r="BK96" i="1" s="1"/>
  <c r="BK93" i="1"/>
  <c r="BK94" i="1" s="1"/>
  <c r="BK99" i="1"/>
  <c r="BK67" i="1"/>
  <c r="BK69" i="1"/>
  <c r="BK71" i="1"/>
  <c r="BK73" i="1"/>
  <c r="BK75" i="1"/>
  <c r="BK77" i="1"/>
  <c r="BK79" i="1"/>
  <c r="BK81" i="1"/>
  <c r="BK83" i="1"/>
  <c r="BK97" i="1"/>
  <c r="BK98" i="1" s="1"/>
  <c r="BK66" i="1"/>
  <c r="BK68" i="1"/>
  <c r="BK70" i="1"/>
  <c r="BK72" i="1"/>
  <c r="BK74" i="1"/>
  <c r="BK76" i="1"/>
  <c r="BK78" i="1"/>
  <c r="BK80" i="1"/>
  <c r="BK82" i="1"/>
  <c r="BK91" i="1"/>
  <c r="BK92" i="1" s="1"/>
  <c r="AE37" i="1"/>
  <c r="AE38" i="1" s="1"/>
  <c r="BK36" i="1"/>
  <c r="BK49" i="1"/>
  <c r="BK43" i="1"/>
  <c r="AG46" i="1"/>
  <c r="AG37" i="1" s="1"/>
  <c r="AG38" i="1" s="1"/>
  <c r="AF46" i="1"/>
  <c r="AF37" i="1" s="1"/>
  <c r="AF38" i="1" s="1"/>
  <c r="AL46" i="1"/>
  <c r="AL37" i="1" s="1"/>
  <c r="AL38" i="1" s="1"/>
  <c r="AQ37" i="1"/>
  <c r="AQ38" i="1" s="1"/>
  <c r="BB46" i="1" l="1"/>
  <c r="BA46" i="1"/>
  <c r="BA37" i="1" s="1"/>
  <c r="BA38" i="1" s="1"/>
  <c r="BC84" i="1"/>
  <c r="BJ85" i="1"/>
  <c r="BC85" i="1"/>
  <c r="BE101" i="1"/>
  <c r="BE90" i="1"/>
  <c r="BE102" i="1" s="1"/>
  <c r="BJ84" i="1"/>
  <c r="BE40" i="1"/>
  <c r="BE41" i="1"/>
  <c r="BJ45" i="1"/>
  <c r="BJ47" i="1"/>
  <c r="BJ48" i="1" s="1"/>
  <c r="BE84" i="1"/>
  <c r="BE59" i="1"/>
  <c r="BF42" i="1" s="1"/>
  <c r="BJ58" i="1"/>
  <c r="BJ59" i="1" s="1"/>
  <c r="BK47" i="1" s="1"/>
  <c r="BK48" i="1" s="1"/>
  <c r="BE47" i="1"/>
  <c r="BE48" i="1" s="1"/>
  <c r="BE42" i="1"/>
  <c r="BE45" i="1"/>
  <c r="BJ40" i="1"/>
  <c r="BJ41" i="1"/>
  <c r="BJ42" i="1" s="1"/>
  <c r="BI91" i="1"/>
  <c r="BI92" i="1" s="1"/>
  <c r="BI69" i="1"/>
  <c r="BI73" i="1"/>
  <c r="BI77" i="1"/>
  <c r="BI81" i="1"/>
  <c r="BI36" i="1"/>
  <c r="BI49" i="1"/>
  <c r="BI72" i="1"/>
  <c r="BI89" i="1"/>
  <c r="BI93" i="1"/>
  <c r="BI94" i="1" s="1"/>
  <c r="BI97" i="1"/>
  <c r="BI98" i="1" s="1"/>
  <c r="BI39" i="1"/>
  <c r="BI66" i="1"/>
  <c r="BI70" i="1"/>
  <c r="BI74" i="1"/>
  <c r="BI78" i="1"/>
  <c r="BI82" i="1"/>
  <c r="BI95" i="1"/>
  <c r="BI96" i="1" s="1"/>
  <c r="BI43" i="1"/>
  <c r="BI80" i="1"/>
  <c r="BI67" i="1"/>
  <c r="BI71" i="1"/>
  <c r="BI75" i="1"/>
  <c r="BI79" i="1"/>
  <c r="BI83" i="1"/>
  <c r="BI99" i="1"/>
  <c r="BI76" i="1"/>
  <c r="BI68" i="1"/>
  <c r="BC101" i="1"/>
  <c r="BC92" i="1"/>
  <c r="BC102" i="1" s="1"/>
  <c r="BG45" i="1"/>
  <c r="BG47" i="1"/>
  <c r="BG48" i="1" s="1"/>
  <c r="BJ90" i="1"/>
  <c r="BJ102" i="1" s="1"/>
  <c r="BJ101" i="1"/>
  <c r="BH69" i="1"/>
  <c r="BH73" i="1"/>
  <c r="BH77" i="1"/>
  <c r="BH81" i="1"/>
  <c r="BH36" i="1"/>
  <c r="BH89" i="1"/>
  <c r="BH93" i="1"/>
  <c r="BH94" i="1" s="1"/>
  <c r="BH97" i="1"/>
  <c r="BH98" i="1" s="1"/>
  <c r="BH49" i="1"/>
  <c r="BH91" i="1"/>
  <c r="BH92" i="1" s="1"/>
  <c r="BH39" i="1"/>
  <c r="BH99" i="1"/>
  <c r="BH66" i="1"/>
  <c r="BH70" i="1"/>
  <c r="BH74" i="1"/>
  <c r="BH78" i="1"/>
  <c r="BH82" i="1"/>
  <c r="BH95" i="1"/>
  <c r="BH96" i="1" s="1"/>
  <c r="BH67" i="1"/>
  <c r="BH71" i="1"/>
  <c r="BH75" i="1"/>
  <c r="BH79" i="1"/>
  <c r="BH83" i="1"/>
  <c r="BH43" i="1"/>
  <c r="BH76" i="1"/>
  <c r="BH80" i="1"/>
  <c r="BH72" i="1"/>
  <c r="BH68" i="1"/>
  <c r="BC41" i="1"/>
  <c r="BC40" i="1"/>
  <c r="BB37" i="1"/>
  <c r="BB38" i="1" s="1"/>
  <c r="BB59" i="1"/>
  <c r="BG58" i="1"/>
  <c r="BG59" i="1" s="1"/>
  <c r="BB41" i="1"/>
  <c r="BB42" i="1" s="1"/>
  <c r="BB40" i="1"/>
  <c r="BB84" i="1"/>
  <c r="BE85" i="1"/>
  <c r="BG69" i="1"/>
  <c r="BG73" i="1"/>
  <c r="BG77" i="1"/>
  <c r="BG81" i="1"/>
  <c r="BG36" i="1"/>
  <c r="BG89" i="1"/>
  <c r="BG93" i="1"/>
  <c r="BG94" i="1" s="1"/>
  <c r="BG97" i="1"/>
  <c r="BG98" i="1" s="1"/>
  <c r="BG49" i="1"/>
  <c r="BG43" i="1"/>
  <c r="BG44" i="1" s="1"/>
  <c r="BG39" i="1"/>
  <c r="BG66" i="1"/>
  <c r="BG70" i="1"/>
  <c r="BG74" i="1"/>
  <c r="BG78" i="1"/>
  <c r="BG82" i="1"/>
  <c r="BG67" i="1"/>
  <c r="BG71" i="1"/>
  <c r="BG75" i="1"/>
  <c r="BG79" i="1"/>
  <c r="BG83" i="1"/>
  <c r="BG76" i="1"/>
  <c r="BG91" i="1"/>
  <c r="BG92" i="1" s="1"/>
  <c r="BG95" i="1"/>
  <c r="BG96" i="1" s="1"/>
  <c r="BG99" i="1"/>
  <c r="BG68" i="1"/>
  <c r="BG72" i="1"/>
  <c r="BG80" i="1"/>
  <c r="BC59" i="1"/>
  <c r="BH58" i="1"/>
  <c r="BH59" i="1" s="1"/>
  <c r="BB85" i="1"/>
  <c r="BB101" i="1"/>
  <c r="BB92" i="1"/>
  <c r="BB102" i="1" s="1"/>
  <c r="BL39" i="1"/>
  <c r="BL79" i="1"/>
  <c r="BL67" i="1"/>
  <c r="BL43" i="1"/>
  <c r="BL36" i="1"/>
  <c r="BM35" i="1"/>
  <c r="BM43" i="1" s="1"/>
  <c r="BL99" i="1"/>
  <c r="BL95" i="1"/>
  <c r="BL96" i="1" s="1"/>
  <c r="BL75" i="1"/>
  <c r="BL72" i="1"/>
  <c r="BL71" i="1"/>
  <c r="BL89" i="1"/>
  <c r="BL90" i="1" s="1"/>
  <c r="BL77" i="1"/>
  <c r="BL49" i="1"/>
  <c r="BL93" i="1"/>
  <c r="BL94" i="1" s="1"/>
  <c r="BL97" i="1"/>
  <c r="BL98" i="1" s="1"/>
  <c r="BL83" i="1"/>
  <c r="BL74" i="1"/>
  <c r="BL82" i="1"/>
  <c r="BM58" i="1"/>
  <c r="BM59" i="1" s="1"/>
  <c r="BL58" i="1"/>
  <c r="BL59" i="1" s="1"/>
  <c r="BK59" i="1"/>
  <c r="BL78" i="1"/>
  <c r="BL76" i="1"/>
  <c r="BL66" i="1"/>
  <c r="BL81" i="1"/>
  <c r="BL73" i="1"/>
  <c r="BL69" i="1"/>
  <c r="BL41" i="1"/>
  <c r="BL40" i="1"/>
  <c r="BK85" i="1"/>
  <c r="BM91" i="1"/>
  <c r="BM92" i="1" s="1"/>
  <c r="BM89" i="1"/>
  <c r="BM95" i="1"/>
  <c r="BM96" i="1" s="1"/>
  <c r="BM99" i="1"/>
  <c r="BM73" i="1"/>
  <c r="BM75" i="1"/>
  <c r="BK41" i="1"/>
  <c r="BK40" i="1"/>
  <c r="BK90" i="1"/>
  <c r="BK102" i="1" s="1"/>
  <c r="BK101" i="1"/>
  <c r="BK84" i="1"/>
  <c r="BI44" i="1" l="1"/>
  <c r="BH84" i="1"/>
  <c r="BE46" i="1"/>
  <c r="BE37" i="1" s="1"/>
  <c r="BE38" i="1" s="1"/>
  <c r="BF45" i="1"/>
  <c r="BF47" i="1"/>
  <c r="BF48" i="1" s="1"/>
  <c r="BF44" i="1"/>
  <c r="BG85" i="1"/>
  <c r="BH101" i="1"/>
  <c r="BH90" i="1"/>
  <c r="BH102" i="1" s="1"/>
  <c r="BC47" i="1"/>
  <c r="BC48" i="1" s="1"/>
  <c r="BC45" i="1"/>
  <c r="BC42" i="1"/>
  <c r="BI85" i="1"/>
  <c r="BK44" i="1"/>
  <c r="BG84" i="1"/>
  <c r="BH85" i="1"/>
  <c r="BI84" i="1"/>
  <c r="BJ46" i="1"/>
  <c r="BJ37" i="1" s="1"/>
  <c r="BJ38" i="1" s="1"/>
  <c r="BH45" i="1"/>
  <c r="BH42" i="1"/>
  <c r="BH47" i="1"/>
  <c r="BH48" i="1" s="1"/>
  <c r="BG40" i="1"/>
  <c r="BG41" i="1"/>
  <c r="BG42" i="1" s="1"/>
  <c r="BH44" i="1"/>
  <c r="BI40" i="1"/>
  <c r="BI41" i="1"/>
  <c r="BC44" i="1"/>
  <c r="BI90" i="1"/>
  <c r="BI102" i="1" s="1"/>
  <c r="BI101" i="1"/>
  <c r="BH40" i="1"/>
  <c r="BH41" i="1"/>
  <c r="BM66" i="1"/>
  <c r="BM97" i="1"/>
  <c r="BM98" i="1" s="1"/>
  <c r="BM93" i="1"/>
  <c r="BM94" i="1" s="1"/>
  <c r="BM83" i="1"/>
  <c r="BK45" i="1"/>
  <c r="BG46" i="1"/>
  <c r="BG37" i="1" s="1"/>
  <c r="BG38" i="1" s="1"/>
  <c r="BK42" i="1"/>
  <c r="BM81" i="1"/>
  <c r="BM79" i="1"/>
  <c r="BI45" i="1"/>
  <c r="BI42" i="1"/>
  <c r="BI47" i="1"/>
  <c r="BI48" i="1" s="1"/>
  <c r="BG90" i="1"/>
  <c r="BG102" i="1" s="1"/>
  <c r="BG101" i="1"/>
  <c r="BM77" i="1"/>
  <c r="BD45" i="1"/>
  <c r="BD47" i="1"/>
  <c r="BD48" i="1" s="1"/>
  <c r="BD42" i="1"/>
  <c r="BD44" i="1"/>
  <c r="BM74" i="1"/>
  <c r="BM67" i="1"/>
  <c r="BM80" i="1"/>
  <c r="BM82" i="1"/>
  <c r="BM78" i="1"/>
  <c r="BM76" i="1"/>
  <c r="BM71" i="1"/>
  <c r="BM36" i="1"/>
  <c r="BM72" i="1"/>
  <c r="BM49" i="1"/>
  <c r="BM70" i="1"/>
  <c r="BM69" i="1"/>
  <c r="BM68" i="1"/>
  <c r="BM84" i="1" s="1"/>
  <c r="BL84" i="1"/>
  <c r="BM44" i="1"/>
  <c r="BL85" i="1"/>
  <c r="BL101" i="1"/>
  <c r="BK46" i="1"/>
  <c r="BK37" i="1" s="1"/>
  <c r="BK38" i="1" s="1"/>
  <c r="BL102" i="1"/>
  <c r="BL47" i="1"/>
  <c r="BL48" i="1" s="1"/>
  <c r="BL45" i="1"/>
  <c r="BM47" i="1"/>
  <c r="BM48" i="1" s="1"/>
  <c r="BM45" i="1"/>
  <c r="BL42" i="1"/>
  <c r="BN42" i="1"/>
  <c r="BN47" i="1"/>
  <c r="BN48" i="1" s="1"/>
  <c r="BN46" i="1" s="1"/>
  <c r="BN44" i="1"/>
  <c r="BL44" i="1"/>
  <c r="BM40" i="1"/>
  <c r="BM41" i="1"/>
  <c r="BM42" i="1" s="1"/>
  <c r="BM90" i="1"/>
  <c r="BM101" i="1" l="1"/>
  <c r="BD46" i="1"/>
  <c r="BD37" i="1" s="1"/>
  <c r="BD38" i="1" s="1"/>
  <c r="BM102" i="1"/>
  <c r="BH46" i="1"/>
  <c r="BH37" i="1" s="1"/>
  <c r="BH38" i="1" s="1"/>
  <c r="BC46" i="1"/>
  <c r="BC37" i="1" s="1"/>
  <c r="BC38" i="1" s="1"/>
  <c r="BI46" i="1"/>
  <c r="BI37" i="1" s="1"/>
  <c r="BI38" i="1" s="1"/>
  <c r="BM85" i="1"/>
  <c r="BF46" i="1"/>
  <c r="BF37" i="1" s="1"/>
  <c r="BF38" i="1" s="1"/>
  <c r="BL46" i="1"/>
  <c r="BL37" i="1" s="1"/>
  <c r="BL38" i="1" s="1"/>
  <c r="BM46" i="1"/>
  <c r="BM37" i="1" s="1"/>
  <c r="BM38" i="1" s="1"/>
  <c r="BN37" i="1"/>
  <c r="BN38" i="1" s="1"/>
</calcChain>
</file>

<file path=xl/sharedStrings.xml><?xml version="1.0" encoding="utf-8"?>
<sst xmlns="http://schemas.openxmlformats.org/spreadsheetml/2006/main" count="320" uniqueCount="223">
  <si>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</si>
  <si>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</si>
  <si>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</si>
  <si>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</si>
  <si>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</si>
  <si>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</si>
  <si>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</si>
  <si>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</si>
  <si>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</si>
  <si>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</si>
  <si>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</si>
  <si>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</si>
  <si>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</si>
  <si>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</si>
  <si>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</si>
  <si>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</si>
  <si>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</si>
  <si>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</si>
  <si>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</si>
  <si>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</si>
  <si>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</si>
  <si>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</si>
  <si>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</si>
  <si>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</si>
  <si>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</si>
  <si>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</si>
  <si>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</si>
  <si>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</si>
  <si>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</si>
  <si>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</si>
  <si>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</si>
  <si>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</si>
  <si>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</si>
  <si>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</si>
  <si>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</si>
  <si>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</si>
  <si>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</si>
  <si>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</si>
  <si>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</si>
  <si>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</si>
  <si>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</si>
  <si>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</si>
  <si>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</si>
  <si>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</si>
  <si>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</si>
  <si>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</si>
  <si>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</si>
  <si>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</si>
  <si>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</si>
  <si>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</si>
  <si>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</si>
  <si>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</si>
  <si>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</si>
  <si>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</si>
  <si>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</si>
  <si>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</si>
  <si>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</si>
  <si>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</si>
  <si>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</si>
  <si>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</si>
  <si>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</si>
  <si>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</si>
  <si>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</si>
  <si>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</si>
  <si>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</si>
  <si>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</si>
  <si>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</si>
  <si>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</si>
  <si>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</si>
  <si>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</si>
  <si>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</si>
  <si>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</si>
  <si>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</si>
  <si>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</si>
  <si>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</si>
  <si>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</si>
  <si>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</si>
  <si>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</si>
  <si>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</si>
  <si>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</si>
  <si>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</si>
  <si>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</si>
  <si>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</si>
  <si>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</si>
  <si>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</si>
  <si>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</si>
  <si>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</si>
  <si>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</si>
  <si>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</si>
  <si>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</si>
  <si>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</si>
  <si>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</si>
  <si>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</si>
  <si>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</si>
  <si>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</si>
  <si>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</si>
  <si>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</si>
  <si>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</si>
  <si>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</si>
  <si>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</si>
  <si>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</si>
  <si>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</si>
  <si>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</si>
  <si>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</si>
  <si>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</si>
  <si>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</si>
  <si>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</si>
  <si>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</si>
  <si>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</si>
  <si>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</si>
  <si>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</si>
  <si>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</si>
  <si>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</si>
  <si>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</si>
  <si>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</si>
  <si>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</si>
  <si>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</si>
  <si>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</si>
  <si>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</si>
  <si>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</si>
  <si>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</si>
  <si>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</si>
  <si>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</si>
  <si>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</si>
  <si>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</si>
  <si>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</si>
  <si>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</si>
  <si>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</si>
  <si>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</si>
  <si>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</si>
  <si>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</si>
  <si>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</si>
  <si>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</si>
  <si>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</si>
  <si>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</si>
  <si>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</si>
  <si>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</si>
  <si>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</si>
  <si>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</si>
  <si>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</si>
  <si>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</si>
  <si>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</si>
  <si>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</si>
  <si>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</si>
  <si>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</si>
  <si>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</si>
  <si>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</si>
  <si>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</si>
  <si>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</si>
  <si>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</si>
  <si>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</si>
  <si>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</si>
  <si>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</si>
  <si>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</si>
  <si>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</si>
  <si>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</si>
  <si>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</si>
  <si>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</si>
  <si>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</si>
  <si>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</si>
  <si>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</si>
  <si>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</si>
  <si>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</si>
  <si>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</si>
  <si>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</si>
  <si>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</si>
  <si>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</si>
  <si>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</si>
  <si>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</si>
  <si>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</si>
  <si>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</si>
  <si>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</si>
  <si>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</si>
  <si>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</si>
  <si>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</si>
  <si>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</si>
  <si>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</si>
  <si>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</si>
  <si>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</si>
  <si>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</si>
  <si>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</si>
  <si>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</si>
  <si>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</si>
  <si>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</si>
  <si>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</si>
  <si>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</si>
  <si>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</si>
  <si>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</si>
  <si>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</si>
  <si>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</si>
  <si>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</si>
  <si>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</si>
  <si>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</si>
  <si>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</si>
  <si>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</si>
  <si>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</si>
  <si>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</si>
  <si>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</si>
  <si>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</si>
  <si>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</si>
  <si>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</si>
  <si>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</si>
  <si>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</si>
  <si>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</si>
  <si>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</si>
  <si>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</si>
  <si>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</si>
  <si>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</si>
  <si>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</si>
  <si>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</si>
  <si>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</si>
  <si>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</si>
  <si>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</si>
  <si>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</si>
  <si>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</si>
  <si>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</si>
  <si>
    <t>India to convert another 500 railway carriages to create 8,000 more beds for COVID-19 patients in Delhi having begun converting railway carriages into quarantine/isolation wards since April, as well as requisitioning nursing homes, 40 hotels and 77 banquet halls and construct a new 10,000 bed hospital in an attempt to deal with the surge in cases as patients are turned away from existing hospitals</t>
  </si>
  <si>
    <t>India's confirmed coronavirus cases have surpassed UK's, becoming the fourth largest behind the US, Brazil, and Russia, as hospitals struggle and many are turned away from care.  Mumbai, New Delhi and Chennai are the worst hit cities in the country, while infections in rural areas surge following return of migrant workers from the cities after losing their jobs. Balram Bhargava, Director General, Indian Council of Medical Research (ICMR) released the results of India's first sero-survey on the spread of COVID-19.  According to the survey 0.73% tested positive, claiming the lockdown had been successful and that there were no community transmission.</t>
  </si>
  <si>
    <t>India releases the phone tracing app Aarogya Setu. It was downloaded 5 million times within 3 days of its launch, 100 million times within 40 days of its launch, making it the worlds fastest growing mobile app beating Pokemon Go</t>
  </si>
  <si>
    <t>India's confirmed coronavirus cases have surpassed Russia's, becoming the third largest behind the US and Brazil.  Within increasing infections, plans to reopen public monuments like the Taj Mahal are put on hold.</t>
  </si>
  <si>
    <t>Lockdown reimposed across a number of states as infections continue to grow exponentially</t>
  </si>
  <si>
    <t>India's confirmed coronavirus cases surpass Brazil's, becoming the second highest behind the US.</t>
  </si>
  <si>
    <t>Cases Peak 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</si>
</sst>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3">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9" fontId="2" fillId="0" borderId="0" xfId="1" applyNumberFormat="1" applyFill="1" applyBorder="1"/>
    <xf numFmtId="14" fontId="6" fillId="0" borderId="18"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0" xfId="0" applyNumberFormat="1" applyFill="1" applyBorder="1"/>
    <xf numFmtId="14" fontId="0" fillId="17" borderId="20" xfId="0" applyNumberFormat="1" applyFill="1" applyBorder="1"/>
    <xf numFmtId="14" fontId="0" fillId="4" borderId="20" xfId="0" applyNumberFormat="1" applyFill="1" applyBorder="1"/>
    <xf numFmtId="164" fontId="0" fillId="9" borderId="2" xfId="0" applyNumberFormat="1" applyFill="1" applyBorder="1"/>
    <xf numFmtId="0" fontId="0" fillId="18" borderId="7" xfId="0" applyFill="1" applyBorder="1"/>
    <xf numFmtId="14" fontId="0" fillId="18" borderId="20" xfId="0" applyNumberFormat="1" applyFill="1" applyBorder="1"/>
    <xf numFmtId="14" fontId="0" fillId="17" borderId="19" xfId="0" applyNumberFormat="1" applyFill="1" applyBorder="1"/>
    <xf numFmtId="14" fontId="0" fillId="0" borderId="20" xfId="0" applyNumberFormat="1" applyFill="1" applyBorder="1"/>
    <xf numFmtId="3" fontId="6" fillId="4" borderId="3" xfId="0" applyNumberFormat="1" applyFont="1" applyFill="1" applyBorder="1"/>
    <xf numFmtId="3" fontId="6" fillId="4" borderId="4" xfId="0" applyNumberFormat="1" applyFont="1" applyFill="1" applyBorder="1"/>
    <xf numFmtId="1" fontId="0" fillId="0" borderId="0" xfId="0" applyNumberFormat="1"/>
    <xf numFmtId="171" fontId="8" fillId="0" borderId="7" xfId="0" applyNumberFormat="1" applyFont="1" applyBorder="1"/>
    <xf numFmtId="14" fontId="0" fillId="3" borderId="12" xfId="0" applyNumberFormat="1" applyFill="1" applyBorder="1"/>
    <xf numFmtId="14" fontId="0" fillId="3" borderId="15" xfId="0" applyNumberFormat="1" applyFill="1" applyBorder="1"/>
    <xf numFmtId="14" fontId="0" fillId="3" borderId="21" xfId="0" applyNumberFormat="1" applyFill="1" applyBorder="1"/>
    <xf numFmtId="14" fontId="0" fillId="3" borderId="20"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44216.879480439813</c:v>
                </c:pt>
                <c:pt idx="1">
                  <c:v>44219.879480439813</c:v>
                </c:pt>
                <c:pt idx="2">
                  <c:v>44222.879480439813</c:v>
                </c:pt>
                <c:pt idx="3">
                  <c:v>44225.879480439813</c:v>
                </c:pt>
                <c:pt idx="4">
                  <c:v>44228.879480439813</c:v>
                </c:pt>
                <c:pt idx="5">
                  <c:v>44231.879480439813</c:v>
                </c:pt>
                <c:pt idx="6">
                  <c:v>44234.879480439813</c:v>
                </c:pt>
                <c:pt idx="7">
                  <c:v>44237.879480439813</c:v>
                </c:pt>
                <c:pt idx="8">
                  <c:v>44240.879480439813</c:v>
                </c:pt>
                <c:pt idx="9">
                  <c:v>44243.879480439813</c:v>
                </c:pt>
                <c:pt idx="10">
                  <c:v>44246.879480439813</c:v>
                </c:pt>
                <c:pt idx="11">
                  <c:v>44249.879480439813</c:v>
                </c:pt>
                <c:pt idx="12">
                  <c:v>44252.879480439813</c:v>
                </c:pt>
                <c:pt idx="13">
                  <c:v>44255.879480439813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42.857142857142847</c:v>
                </c:pt>
                <c:pt idx="1">
                  <c:v>85.714285714285694</c:v>
                </c:pt>
                <c:pt idx="2">
                  <c:v>171.42857142857139</c:v>
                </c:pt>
                <c:pt idx="3">
                  <c:v>342.85714285714278</c:v>
                </c:pt>
                <c:pt idx="4">
                  <c:v>685.71428571428555</c:v>
                </c:pt>
                <c:pt idx="5">
                  <c:v>1371.4285714285711</c:v>
                </c:pt>
                <c:pt idx="6">
                  <c:v>2742.8571428571422</c:v>
                </c:pt>
                <c:pt idx="7">
                  <c:v>5485.7142857142844</c:v>
                </c:pt>
                <c:pt idx="8">
                  <c:v>10971.428571428569</c:v>
                </c:pt>
                <c:pt idx="9">
                  <c:v>21942.857142857138</c:v>
                </c:pt>
                <c:pt idx="10">
                  <c:v>43885.714285714275</c:v>
                </c:pt>
                <c:pt idx="11">
                  <c:v>87771.428571428551</c:v>
                </c:pt>
                <c:pt idx="12">
                  <c:v>175542.8571428571</c:v>
                </c:pt>
                <c:pt idx="13">
                  <c:v>351085.7142857142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44216.879480439813</c:v>
                </c:pt>
                <c:pt idx="1">
                  <c:v>44219.879480439813</c:v>
                </c:pt>
                <c:pt idx="2">
                  <c:v>44222.879480439813</c:v>
                </c:pt>
                <c:pt idx="3">
                  <c:v>44225.879480439813</c:v>
                </c:pt>
                <c:pt idx="4">
                  <c:v>44228.879480439813</c:v>
                </c:pt>
                <c:pt idx="5">
                  <c:v>44231.879480439813</c:v>
                </c:pt>
                <c:pt idx="6">
                  <c:v>44234.879480439813</c:v>
                </c:pt>
                <c:pt idx="7">
                  <c:v>44237.879480439813</c:v>
                </c:pt>
                <c:pt idx="8">
                  <c:v>44240.879480439813</c:v>
                </c:pt>
                <c:pt idx="9">
                  <c:v>44243.879480439813</c:v>
                </c:pt>
                <c:pt idx="10">
                  <c:v>44246.879480439813</c:v>
                </c:pt>
                <c:pt idx="11">
                  <c:v>44249.879480439813</c:v>
                </c:pt>
                <c:pt idx="12">
                  <c:v>44252.879480439813</c:v>
                </c:pt>
                <c:pt idx="13">
                  <c:v>44255.879480439813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14.285714285714279</c:v>
                </c:pt>
                <c:pt idx="1">
                  <c:v>28.571428571428559</c:v>
                </c:pt>
                <c:pt idx="2">
                  <c:v>57.142857142857117</c:v>
                </c:pt>
                <c:pt idx="3">
                  <c:v>114.28571428571423</c:v>
                </c:pt>
                <c:pt idx="4">
                  <c:v>228.57142857142847</c:v>
                </c:pt>
                <c:pt idx="5">
                  <c:v>457.14285714285694</c:v>
                </c:pt>
                <c:pt idx="6">
                  <c:v>914.28571428571388</c:v>
                </c:pt>
                <c:pt idx="7">
                  <c:v>1828.5714285714278</c:v>
                </c:pt>
                <c:pt idx="8">
                  <c:v>3657.1428571428555</c:v>
                </c:pt>
                <c:pt idx="9">
                  <c:v>7314.285714285711</c:v>
                </c:pt>
                <c:pt idx="10">
                  <c:v>14628.571428571422</c:v>
                </c:pt>
                <c:pt idx="11">
                  <c:v>29257.142857142844</c:v>
                </c:pt>
                <c:pt idx="12">
                  <c:v>58514.285714285688</c:v>
                </c:pt>
                <c:pt idx="13">
                  <c:v>117028.57142857138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44216.879480439813</c:v>
                </c:pt>
                <c:pt idx="1">
                  <c:v>44219.879480439813</c:v>
                </c:pt>
                <c:pt idx="2">
                  <c:v>44222.879480439813</c:v>
                </c:pt>
                <c:pt idx="3">
                  <c:v>44225.879480439813</c:v>
                </c:pt>
                <c:pt idx="4">
                  <c:v>44228.879480439813</c:v>
                </c:pt>
                <c:pt idx="5">
                  <c:v>44231.879480439813</c:v>
                </c:pt>
                <c:pt idx="6">
                  <c:v>44234.879480439813</c:v>
                </c:pt>
                <c:pt idx="7">
                  <c:v>44237.879480439813</c:v>
                </c:pt>
                <c:pt idx="8">
                  <c:v>44240.879480439813</c:v>
                </c:pt>
                <c:pt idx="9">
                  <c:v>44243.879480439813</c:v>
                </c:pt>
                <c:pt idx="10">
                  <c:v>44246.879480439813</c:v>
                </c:pt>
                <c:pt idx="11">
                  <c:v>44249.879480439813</c:v>
                </c:pt>
                <c:pt idx="12">
                  <c:v>44252.879480439813</c:v>
                </c:pt>
                <c:pt idx="13">
                  <c:v>44255.879480439813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Projections!$P$35:$BN$35</c15:sqref>
                  </c15:fullRef>
                </c:ext>
              </c:extLst>
              <c:f>(Projections!$P$35:$AU$35,Projections!$AW$35:$AZ$35,Projections!$BB$35:$BE$35,Projections!$BG$35:$BJ$35)</c:f>
              <c:numCache>
                <c:formatCode>#,##0_ ;[Red]\-#,##0\ </c:formatCode>
                <c:ptCount val="4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pt idx="18">
                  <c:v>4915200</c:v>
                </c:pt>
                <c:pt idx="19">
                  <c:v>5734400</c:v>
                </c:pt>
                <c:pt idx="20">
                  <c:v>6553600</c:v>
                </c:pt>
                <c:pt idx="21">
                  <c:v>7372800</c:v>
                </c:pt>
                <c:pt idx="22">
                  <c:v>8192000</c:v>
                </c:pt>
                <c:pt idx="23">
                  <c:v>9830400</c:v>
                </c:pt>
                <c:pt idx="24">
                  <c:v>11468800</c:v>
                </c:pt>
                <c:pt idx="25">
                  <c:v>13107200</c:v>
                </c:pt>
                <c:pt idx="26">
                  <c:v>14745600</c:v>
                </c:pt>
                <c:pt idx="27">
                  <c:v>16384000</c:v>
                </c:pt>
                <c:pt idx="28">
                  <c:v>19660800</c:v>
                </c:pt>
                <c:pt idx="29">
                  <c:v>22937600</c:v>
                </c:pt>
                <c:pt idx="30">
                  <c:v>26214400</c:v>
                </c:pt>
                <c:pt idx="31">
                  <c:v>29491200</c:v>
                </c:pt>
                <c:pt idx="32">
                  <c:v>39321600</c:v>
                </c:pt>
                <c:pt idx="33">
                  <c:v>45875200</c:v>
                </c:pt>
                <c:pt idx="34">
                  <c:v>52428800</c:v>
                </c:pt>
                <c:pt idx="35">
                  <c:v>58982400</c:v>
                </c:pt>
                <c:pt idx="36">
                  <c:v>78643200</c:v>
                </c:pt>
                <c:pt idx="37">
                  <c:v>91750400</c:v>
                </c:pt>
                <c:pt idx="38">
                  <c:v>104857600</c:v>
                </c:pt>
                <c:pt idx="39">
                  <c:v>117964800</c:v>
                </c:pt>
                <c:pt idx="40">
                  <c:v>157286400</c:v>
                </c:pt>
                <c:pt idx="41">
                  <c:v>183500800</c:v>
                </c:pt>
                <c:pt idx="42">
                  <c:v>209715200</c:v>
                </c:pt>
                <c:pt idx="43">
                  <c:v>235929600</c:v>
                </c:pt>
              </c:numCache>
            </c:numRef>
          </c:val>
          <c:smooth val="0"/>
          <c:extLst>
            <c:ext xmlns:c16="http://schemas.microsoft.com/office/drawing/2014/chart" uri="{C3380CC4-5D6E-409C-BE32-E72D297353CC}">
              <c16:uniqueId val="{00000004-8BCC-427B-903C-670C749E04E9}"/>
            </c:ext>
          </c:extLst>
        </c:ser>
        <c:ser>
          <c:idx val="1"/>
          <c:order val="1"/>
          <c:tx>
            <c:strRef>
              <c:f>Projections!$A$58</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Projections!$P$58:$BN$58</c15:sqref>
                  </c15:fullRef>
                </c:ext>
              </c:extLst>
              <c:f>(Projections!$P$58:$AU$58,Projections!$AW$58:$AZ$58,Projections!$BB$58:$BE$58,Projections!$BG$58:$BJ$58)</c:f>
              <c:numCache>
                <c:formatCode>General</c:formatCode>
                <c:ptCount val="44"/>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4110839</c:v>
                </c:pt>
                <c:pt idx="18" formatCode="#,##0">
                  <c:v>4926914</c:v>
                </c:pt>
                <c:pt idx="19" formatCode="#,##0">
                  <c:v>5730184</c:v>
                </c:pt>
                <c:pt idx="20" formatCode="#,##0">
                  <c:v>6547413</c:v>
                </c:pt>
                <c:pt idx="21" formatCode="#,##0">
                  <c:v>7365509</c:v>
                </c:pt>
                <c:pt idx="22" formatCode="#,##0">
                  <c:v>8182881</c:v>
                </c:pt>
                <c:pt idx="23" formatCode="#,##0">
                  <c:v>9827026</c:v>
                </c:pt>
                <c:pt idx="24" formatCode="#,##0">
                  <c:v>11468800</c:v>
                </c:pt>
                <c:pt idx="25" formatCode="#,##0">
                  <c:v>13107200</c:v>
                </c:pt>
                <c:pt idx="26" formatCode="#,##0">
                  <c:v>14745600</c:v>
                </c:pt>
                <c:pt idx="27" formatCode="#,##0">
                  <c:v>16384000</c:v>
                </c:pt>
                <c:pt idx="28" formatCode="#,##0">
                  <c:v>19660800</c:v>
                </c:pt>
                <c:pt idx="29" formatCode="#,##0">
                  <c:v>22937600</c:v>
                </c:pt>
                <c:pt idx="30" formatCode="#,##0">
                  <c:v>26214400</c:v>
                </c:pt>
                <c:pt idx="31" formatCode="#,##0">
                  <c:v>29491200</c:v>
                </c:pt>
                <c:pt idx="32" formatCode="#,##0">
                  <c:v>39321600</c:v>
                </c:pt>
                <c:pt idx="33" formatCode="#,##0">
                  <c:v>45875200</c:v>
                </c:pt>
                <c:pt idx="34" formatCode="#,##0">
                  <c:v>52428800</c:v>
                </c:pt>
                <c:pt idx="35" formatCode="#,##0">
                  <c:v>58982400</c:v>
                </c:pt>
                <c:pt idx="36" formatCode="#,##0">
                  <c:v>78643200</c:v>
                </c:pt>
                <c:pt idx="37" formatCode="#,##0">
                  <c:v>91750400</c:v>
                </c:pt>
                <c:pt idx="38" formatCode="#,##0">
                  <c:v>104857600</c:v>
                </c:pt>
                <c:pt idx="39" formatCode="#,##0">
                  <c:v>117964800</c:v>
                </c:pt>
                <c:pt idx="40" formatCode="#,##0">
                  <c:v>157286400</c:v>
                </c:pt>
                <c:pt idx="41" formatCode="#,##0">
                  <c:v>183500800</c:v>
                </c:pt>
                <c:pt idx="42" formatCode="#,##0">
                  <c:v>209715200</c:v>
                </c:pt>
                <c:pt idx="43" formatCode="#,##0">
                  <c:v>235929600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Projections!$P$49:$BN$49</c15:sqref>
                  </c15:fullRef>
                </c:ext>
              </c:extLst>
              <c:f>(Projections!$P$49:$AU$49,Projections!$AW$49:$AZ$49,Projections!$BB$49:$BE$49,Projections!$BG$49:$BJ$49)</c:f>
              <c:numCache>
                <c:formatCode>#,##0_ ;[Red]\-#,##0\ </c:formatCode>
                <c:ptCount val="44"/>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73728</c:v>
                </c:pt>
                <c:pt idx="19">
                  <c:v>86016</c:v>
                </c:pt>
                <c:pt idx="20">
                  <c:v>98304</c:v>
                </c:pt>
                <c:pt idx="21">
                  <c:v>110592</c:v>
                </c:pt>
                <c:pt idx="22">
                  <c:v>122880</c:v>
                </c:pt>
                <c:pt idx="23">
                  <c:v>147456</c:v>
                </c:pt>
                <c:pt idx="24">
                  <c:v>172032</c:v>
                </c:pt>
                <c:pt idx="25">
                  <c:v>196608</c:v>
                </c:pt>
                <c:pt idx="26">
                  <c:v>221184</c:v>
                </c:pt>
                <c:pt idx="27">
                  <c:v>245760</c:v>
                </c:pt>
                <c:pt idx="28">
                  <c:v>294912</c:v>
                </c:pt>
                <c:pt idx="29">
                  <c:v>344064</c:v>
                </c:pt>
                <c:pt idx="30">
                  <c:v>393216</c:v>
                </c:pt>
                <c:pt idx="31">
                  <c:v>442368</c:v>
                </c:pt>
                <c:pt idx="32">
                  <c:v>589824</c:v>
                </c:pt>
                <c:pt idx="33">
                  <c:v>688128</c:v>
                </c:pt>
                <c:pt idx="34">
                  <c:v>786432</c:v>
                </c:pt>
                <c:pt idx="35">
                  <c:v>884736</c:v>
                </c:pt>
                <c:pt idx="36">
                  <c:v>1179648</c:v>
                </c:pt>
                <c:pt idx="37">
                  <c:v>1376256</c:v>
                </c:pt>
                <c:pt idx="38">
                  <c:v>1572864</c:v>
                </c:pt>
                <c:pt idx="39">
                  <c:v>1769472</c:v>
                </c:pt>
                <c:pt idx="40">
                  <c:v>2359296</c:v>
                </c:pt>
                <c:pt idx="41">
                  <c:v>2752512</c:v>
                </c:pt>
                <c:pt idx="42">
                  <c:v>3145728</c:v>
                </c:pt>
                <c:pt idx="43">
                  <c:v>3538944</c:v>
                </c:pt>
              </c:numCache>
            </c:numRef>
          </c:val>
          <c:smooth val="0"/>
          <c:extLst>
            <c:ext xmlns:c16="http://schemas.microsoft.com/office/drawing/2014/chart" uri="{C3380CC4-5D6E-409C-BE32-E72D297353CC}">
              <c16:uniqueId val="{00000000-50BE-40C1-B679-81AF0BCE3FCD}"/>
            </c:ext>
          </c:extLst>
        </c:ser>
        <c:ser>
          <c:idx val="1"/>
          <c:order val="1"/>
          <c:tx>
            <c:strRef>
              <c:f>Projections!$A$62</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Projections!$P$62:$BN$62</c15:sqref>
                  </c15:fullRef>
                </c:ext>
              </c:extLst>
              <c:f>(Projections!$P$62:$AU$62,Projections!$AW$62:$AZ$62,Projections!$BB$62:$BE$62,Projections!$BG$62:$BJ$62)</c:f>
              <c:numCache>
                <c:formatCode>General</c:formatCode>
                <c:ptCount val="44"/>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70679</c:v>
                </c:pt>
                <c:pt idx="18" formatCode="#,##0">
                  <c:v>80808</c:v>
                </c:pt>
                <c:pt idx="19" formatCode="#,##0">
                  <c:v>91173</c:v>
                </c:pt>
                <c:pt idx="20" formatCode="#,##0">
                  <c:v>101812</c:v>
                </c:pt>
                <c:pt idx="21" formatCode="#,##0">
                  <c:v>112146</c:v>
                </c:pt>
                <c:pt idx="22" formatCode="#,##0">
                  <c:v>122149</c:v>
                </c:pt>
                <c:pt idx="23" formatCode="#,##0">
                  <c:v>151364</c:v>
                </c:pt>
                <c:pt idx="24" formatCode="#,##0">
                  <c:v>157195</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Projections!$P$45:$BN$45</c15:sqref>
                  </c15:fullRef>
                </c:ext>
              </c:extLst>
              <c:f>(Projections!$P$45:$BE$45,Projections!$BG$45:$BJ$45)</c:f>
              <c:numCache>
                <c:formatCode>#,##0_ ;[Red]\-#,##0\ </c:formatCode>
                <c:ptCount val="46"/>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2010393.4225772631</c:v>
                </c:pt>
                <c:pt idx="18">
                  <c:v>956675.80008620804</c:v>
                </c:pt>
                <c:pt idx="19">
                  <c:v>1101235.6401215366</c:v>
                </c:pt>
                <c:pt idx="20">
                  <c:v>1364529.5567660872</c:v>
                </c:pt>
                <c:pt idx="21">
                  <c:v>1706517.6818449753</c:v>
                </c:pt>
                <c:pt idx="22">
                  <c:v>2356420.7430199692</c:v>
                </c:pt>
                <c:pt idx="23">
                  <c:v>49564397.517196603</c:v>
                </c:pt>
                <c:pt idx="24">
                  <c:v>16346104.704848859</c:v>
                </c:pt>
                <c:pt idx="25">
                  <c:v>17433334.888822176</c:v>
                </c:pt>
                <c:pt idx="26">
                  <c:v>14920063.685403436</c:v>
                </c:pt>
                <c:pt idx="27">
                  <c:v>13533698.714409493</c:v>
                </c:pt>
                <c:pt idx="28">
                  <c:v>12728084.452367041</c:v>
                </c:pt>
                <c:pt idx="29">
                  <c:v>13479154.966510585</c:v>
                </c:pt>
                <c:pt idx="30">
                  <c:v>14174455.270191099</c:v>
                </c:pt>
                <c:pt idx="31">
                  <c:v>14840871.372444957</c:v>
                </c:pt>
                <c:pt idx="32">
                  <c:v>15492079.059764657</c:v>
                </c:pt>
                <c:pt idx="33">
                  <c:v>16135346.425538948</c:v>
                </c:pt>
                <c:pt idx="34">
                  <c:v>18397138.739955779</c:v>
                </c:pt>
                <c:pt idx="35">
                  <c:v>20494111.038161296</c:v>
                </c:pt>
                <c:pt idx="36">
                  <c:v>22463861.280025061</c:v>
                </c:pt>
                <c:pt idx="37">
                  <c:v>24333824.209941149</c:v>
                </c:pt>
                <c:pt idx="38">
                  <c:v>26124341.78320187</c:v>
                </c:pt>
                <c:pt idx="39">
                  <c:v>30503213.430660248</c:v>
                </c:pt>
                <c:pt idx="40">
                  <c:v>34676308.415231526</c:v>
                </c:pt>
                <c:pt idx="41">
                  <c:v>38675513.74217844</c:v>
                </c:pt>
                <c:pt idx="42">
                  <c:v>46252498.644161798</c:v>
                </c:pt>
                <c:pt idx="43">
                  <c:v>54575229.782424405</c:v>
                </c:pt>
                <c:pt idx="44">
                  <c:v>62627634.311200984</c:v>
                </c:pt>
                <c:pt idx="45">
                  <c:v>70440090.486330405</c:v>
                </c:pt>
              </c:numCache>
            </c:numRef>
          </c:val>
          <c:smooth val="0"/>
          <c:extLst>
            <c:ext xmlns:c16="http://schemas.microsoft.com/office/drawing/2014/chart" uri="{C3380CC4-5D6E-409C-BE32-E72D297353CC}">
              <c16:uniqueId val="{00000000-A3C2-4B4C-996C-CDB1A252886F}"/>
            </c:ext>
          </c:extLst>
        </c:ser>
        <c:ser>
          <c:idx val="2"/>
          <c:order val="1"/>
          <c:tx>
            <c:strRef>
              <c:f>Projections!$A$46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Projections!$P$46:$BN$46</c15:sqref>
                  </c15:fullRef>
                </c:ext>
              </c:extLst>
              <c:f>(Projections!$P$46:$BE$46,Projections!$BG$46:$BJ$46)</c:f>
              <c:numCache>
                <c:formatCode>#,##0_ ;[Red]\-#,##0\ </c:formatCode>
                <c:ptCount val="46"/>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1582058.7721910735</c:v>
                </c:pt>
                <c:pt idx="18">
                  <c:v>0</c:v>
                </c:pt>
                <c:pt idx="19">
                  <c:v>631020.22972472338</c:v>
                </c:pt>
                <c:pt idx="20">
                  <c:v>432429.13170711964</c:v>
                </c:pt>
                <c:pt idx="21">
                  <c:v>0</c:v>
                </c:pt>
                <c:pt idx="22">
                  <c:v>1333854.5357557274</c:v>
                </c:pt>
                <c:pt idx="23">
                  <c:v>37652669.400940955</c:v>
                </c:pt>
                <c:pt idx="24">
                  <c:v>11582542.116490133</c:v>
                </c:pt>
                <c:pt idx="25">
                  <c:v>11741829.045170188</c:v>
                </c:pt>
                <c:pt idx="26">
                  <c:v>9547022.7710600328</c:v>
                </c:pt>
                <c:pt idx="27">
                  <c:v>8270813.2355944291</c:v>
                </c:pt>
                <c:pt idx="28">
                  <c:v>7463418.8438805379</c:v>
                </c:pt>
                <c:pt idx="29">
                  <c:v>7632403.7792255674</c:v>
                </c:pt>
                <c:pt idx="30">
                  <c:v>7773107.1701529343</c:v>
                </c:pt>
                <c:pt idx="31">
                  <c:v>7902665.4222301096</c:v>
                </c:pt>
                <c:pt idx="32">
                  <c:v>8029040.1895084614</c:v>
                </c:pt>
                <c:pt idx="33">
                  <c:v>8155964.3023642348</c:v>
                </c:pt>
                <c:pt idx="34">
                  <c:v>9106814.6489594541</c:v>
                </c:pt>
                <c:pt idx="35">
                  <c:v>9945646.3990380988</c:v>
                </c:pt>
                <c:pt idx="36">
                  <c:v>10699150.658828236</c:v>
                </c:pt>
                <c:pt idx="37">
                  <c:v>11386582.508727331</c:v>
                </c:pt>
                <c:pt idx="38">
                  <c:v>12022061.423563356</c:v>
                </c:pt>
                <c:pt idx="39">
                  <c:v>13845639.089119902</c:v>
                </c:pt>
                <c:pt idx="40">
                  <c:v>15530290.961195197</c:v>
                </c:pt>
                <c:pt idx="41">
                  <c:v>17098366.550561622</c:v>
                </c:pt>
                <c:pt idx="42">
                  <c:v>19954463.368924387</c:v>
                </c:pt>
                <c:pt idx="43">
                  <c:v>23319133.815726478</c:v>
                </c:pt>
                <c:pt idx="44">
                  <c:v>26503132.432803117</c:v>
                </c:pt>
                <c:pt idx="45">
                  <c:v>29527497.417508036</c:v>
                </c:pt>
              </c:numCache>
            </c:numRef>
          </c:val>
          <c:smooth val="0"/>
          <c:extLst>
            <c:ext xmlns:c16="http://schemas.microsoft.com/office/drawing/2014/chart" uri="{C3380CC4-5D6E-409C-BE32-E72D297353CC}">
              <c16:uniqueId val="{00000001-A3C2-4B4C-996C-CDB1A252886F}"/>
            </c:ext>
          </c:extLst>
        </c:ser>
        <c:ser>
          <c:idx val="0"/>
          <c:order val="2"/>
          <c:tx>
            <c:strRef>
              <c:f>Projections!$A$47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Projections!$P$47:$BN$47</c15:sqref>
                  </c15:fullRef>
                </c:ext>
              </c:extLst>
              <c:f>(Projections!$P$47:$BE$47,Projections!$BG$47:$BJ$47)</c:f>
              <c:numCache>
                <c:formatCode>#,##0_ ;[Red]\-#,##0\ </c:formatCode>
                <c:ptCount val="46"/>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319749.33508169668</c:v>
                </c:pt>
                <c:pt idx="18">
                  <c:v>634198.29333693732</c:v>
                </c:pt>
                <c:pt idx="19">
                  <c:v>285561.31732742168</c:v>
                </c:pt>
                <c:pt idx="20">
                  <c:v>350835.95069856732</c:v>
                </c:pt>
                <c:pt idx="21">
                  <c:v>477912.97694145935</c:v>
                </c:pt>
                <c:pt idx="22">
                  <c:v>420987.76922458311</c:v>
                </c:pt>
                <c:pt idx="23">
                  <c:v>9054042.0304193217</c:v>
                </c:pt>
                <c:pt idx="24">
                  <c:v>3236886.4292055592</c:v>
                </c:pt>
                <c:pt idx="25">
                  <c:v>3602066.9170684814</c:v>
                </c:pt>
                <c:pt idx="26">
                  <c:v>3190390.7857517041</c:v>
                </c:pt>
                <c:pt idx="27">
                  <c:v>2968819.0232850085</c:v>
                </c:pt>
                <c:pt idx="28">
                  <c:v>2847878.1111275768</c:v>
                </c:pt>
                <c:pt idx="29">
                  <c:v>3060985.0524108219</c:v>
                </c:pt>
                <c:pt idx="30">
                  <c:v>3258788.1841312414</c:v>
                </c:pt>
                <c:pt idx="31">
                  <c:v>3447642.6834311392</c:v>
                </c:pt>
                <c:pt idx="32">
                  <c:v>3631020.8933556261</c:v>
                </c:pt>
                <c:pt idx="33">
                  <c:v>3810920.762256931</c:v>
                </c:pt>
                <c:pt idx="34">
                  <c:v>4371564.6440696344</c:v>
                </c:pt>
                <c:pt idx="35">
                  <c:v>4896622.839912639</c:v>
                </c:pt>
                <c:pt idx="36">
                  <c:v>5393911.051369437</c:v>
                </c:pt>
                <c:pt idx="37">
                  <c:v>5869196.5370912086</c:v>
                </c:pt>
                <c:pt idx="38">
                  <c:v>6326800.049610653</c:v>
                </c:pt>
                <c:pt idx="39">
                  <c:v>7411292.5573959686</c:v>
                </c:pt>
                <c:pt idx="40">
                  <c:v>8451175.0353860129</c:v>
                </c:pt>
                <c:pt idx="41">
                  <c:v>9453151.5172890015</c:v>
                </c:pt>
                <c:pt idx="42">
                  <c:v>11364621.776366044</c:v>
                </c:pt>
                <c:pt idx="43">
                  <c:v>13436431.380319078</c:v>
                </c:pt>
                <c:pt idx="44">
                  <c:v>15449193.212832179</c:v>
                </c:pt>
                <c:pt idx="45">
                  <c:v>17409362.212352272</c:v>
                </c:pt>
              </c:numCache>
            </c:numRef>
          </c:val>
          <c:smooth val="0"/>
          <c:extLst>
            <c:ext xmlns:c16="http://schemas.microsoft.com/office/drawing/2014/chart" uri="{C3380CC4-5D6E-409C-BE32-E72D297353CC}">
              <c16:uniqueId val="{00000002-A3C2-4B4C-996C-CDB1A252886F}"/>
            </c:ext>
          </c:extLst>
        </c:ser>
        <c:ser>
          <c:idx val="4"/>
          <c:order val="3"/>
          <c:tx>
            <c:strRef>
              <c:f>Projections!$A$48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Projections!$P$48:$BN$48</c15:sqref>
                  </c15:fullRef>
                </c:ext>
              </c:extLst>
              <c:f>(Projections!$P$48:$BE$48,Projections!$BG$48:$BJ$48)</c:f>
              <c:numCache>
                <c:formatCode>#,##0_ ;[Red]\-#,##0\ </c:formatCode>
                <c:ptCount val="46"/>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145109.47308068068</c:v>
                </c:pt>
                <c:pt idx="18">
                  <c:v>494187.45860461192</c:v>
                </c:pt>
                <c:pt idx="19">
                  <c:v>18825.06859651854</c:v>
                </c:pt>
                <c:pt idx="20">
                  <c:v>0</c:v>
                </c:pt>
                <c:pt idx="21">
                  <c:v>176508.27192375745</c:v>
                </c:pt>
                <c:pt idx="22">
                  <c:v>73776.725473029539</c:v>
                </c:pt>
                <c:pt idx="23">
                  <c:v>6025655.3985738494</c:v>
                </c:pt>
                <c:pt idx="24">
                  <c:v>1857716.4099828294</c:v>
                </c:pt>
                <c:pt idx="25">
                  <c:v>1858588.8928418502</c:v>
                </c:pt>
                <c:pt idx="26">
                  <c:v>1478743.4497413433</c:v>
                </c:pt>
                <c:pt idx="27">
                  <c:v>1249184.4246824665</c:v>
                </c:pt>
                <c:pt idx="28">
                  <c:v>1097438.084766625</c:v>
                </c:pt>
                <c:pt idx="29">
                  <c:v>1093970.258701721</c:v>
                </c:pt>
                <c:pt idx="30">
                  <c:v>1085805.8864416201</c:v>
                </c:pt>
                <c:pt idx="31">
                  <c:v>1075932.697492369</c:v>
                </c:pt>
                <c:pt idx="32">
                  <c:v>1065729.7155553559</c:v>
                </c:pt>
                <c:pt idx="33">
                  <c:v>1055832.0780595159</c:v>
                </c:pt>
                <c:pt idx="34">
                  <c:v>1153108.7742466144</c:v>
                </c:pt>
                <c:pt idx="35">
                  <c:v>1231823.917775874</c:v>
                </c:pt>
                <c:pt idx="36">
                  <c:v>1296470.2684726315</c:v>
                </c:pt>
                <c:pt idx="37">
                  <c:v>1350280.1954225367</c:v>
                </c:pt>
                <c:pt idx="38">
                  <c:v>1395616.6349396892</c:v>
                </c:pt>
                <c:pt idx="39">
                  <c:v>1578321.277510317</c:v>
                </c:pt>
                <c:pt idx="40">
                  <c:v>1738113.8506870745</c:v>
                </c:pt>
                <c:pt idx="41">
                  <c:v>1878738.3436075896</c:v>
                </c:pt>
                <c:pt idx="42">
                  <c:v>2114123.232171258</c:v>
                </c:pt>
                <c:pt idx="43">
                  <c:v>2433717.3556144424</c:v>
                </c:pt>
                <c:pt idx="44">
                  <c:v>2723660.0415274631</c:v>
                </c:pt>
                <c:pt idx="45">
                  <c:v>2987460.9182021841</c:v>
                </c:pt>
              </c:numCache>
            </c:numRef>
          </c:val>
          <c:smooth val="0"/>
          <c:extLst>
            <c:ext xmlns:c16="http://schemas.microsoft.com/office/drawing/2014/chart" uri="{C3380CC4-5D6E-409C-BE32-E72D297353CC}">
              <c16:uniqueId val="{00000003-A3C2-4B4C-996C-CDB1A252886F}"/>
            </c:ext>
          </c:extLst>
        </c:ser>
        <c:ser>
          <c:idx val="1"/>
          <c:order val="4"/>
          <c:tx>
            <c:strRef>
              <c:f>Projections!$A$49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Projections!$P$49:$BN$49</c15:sqref>
                  </c15:fullRef>
                </c:ext>
              </c:extLst>
              <c:f>(Projections!$P$49:$BE$49,Projections!$BG$49:$BJ$49)</c:f>
              <c:numCache>
                <c:formatCode>#,##0_ ;[Red]\-#,##0\ </c:formatCode>
                <c:ptCount val="46"/>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73728</c:v>
                </c:pt>
                <c:pt idx="19">
                  <c:v>86016</c:v>
                </c:pt>
                <c:pt idx="20">
                  <c:v>98304</c:v>
                </c:pt>
                <c:pt idx="21">
                  <c:v>110592</c:v>
                </c:pt>
                <c:pt idx="22">
                  <c:v>122880</c:v>
                </c:pt>
                <c:pt idx="23">
                  <c:v>147456</c:v>
                </c:pt>
                <c:pt idx="24">
                  <c:v>172032</c:v>
                </c:pt>
                <c:pt idx="25">
                  <c:v>196608</c:v>
                </c:pt>
                <c:pt idx="26">
                  <c:v>221184</c:v>
                </c:pt>
                <c:pt idx="27">
                  <c:v>245760</c:v>
                </c:pt>
                <c:pt idx="28">
                  <c:v>294912</c:v>
                </c:pt>
                <c:pt idx="29">
                  <c:v>344064</c:v>
                </c:pt>
                <c:pt idx="30">
                  <c:v>393216</c:v>
                </c:pt>
                <c:pt idx="31">
                  <c:v>442368</c:v>
                </c:pt>
                <c:pt idx="32">
                  <c:v>491520</c:v>
                </c:pt>
                <c:pt idx="33">
                  <c:v>589824</c:v>
                </c:pt>
                <c:pt idx="34">
                  <c:v>688128</c:v>
                </c:pt>
                <c:pt idx="35">
                  <c:v>786432</c:v>
                </c:pt>
                <c:pt idx="36">
                  <c:v>884736</c:v>
                </c:pt>
                <c:pt idx="37">
                  <c:v>983040</c:v>
                </c:pt>
                <c:pt idx="38">
                  <c:v>1179648</c:v>
                </c:pt>
                <c:pt idx="39">
                  <c:v>1376256</c:v>
                </c:pt>
                <c:pt idx="40">
                  <c:v>1572864</c:v>
                </c:pt>
                <c:pt idx="41">
                  <c:v>1769472</c:v>
                </c:pt>
                <c:pt idx="42">
                  <c:v>2359296</c:v>
                </c:pt>
                <c:pt idx="43">
                  <c:v>2752512</c:v>
                </c:pt>
                <c:pt idx="44">
                  <c:v>3145728</c:v>
                </c:pt>
                <c:pt idx="45">
                  <c:v>3538944</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Projections!$A$66</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Projections!$P$66:$BN$66</c15:sqref>
                  </c15:fullRef>
                </c:ext>
              </c:extLst>
              <c:f>(Projections!$P$66:$BE$66,Projections!$BG$66:$BJ$66)</c:f>
              <c:numCache>
                <c:formatCode>#,##0</c:formatCode>
                <c:ptCount val="46"/>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49152</c:v>
                </c:pt>
                <c:pt idx="19">
                  <c:v>57344</c:v>
                </c:pt>
                <c:pt idx="20">
                  <c:v>65536</c:v>
                </c:pt>
                <c:pt idx="21">
                  <c:v>73728</c:v>
                </c:pt>
                <c:pt idx="22">
                  <c:v>81920</c:v>
                </c:pt>
                <c:pt idx="23">
                  <c:v>98304</c:v>
                </c:pt>
                <c:pt idx="24">
                  <c:v>114688</c:v>
                </c:pt>
                <c:pt idx="25">
                  <c:v>131072</c:v>
                </c:pt>
                <c:pt idx="26">
                  <c:v>147456</c:v>
                </c:pt>
                <c:pt idx="27">
                  <c:v>163840</c:v>
                </c:pt>
                <c:pt idx="28">
                  <c:v>196608</c:v>
                </c:pt>
                <c:pt idx="29">
                  <c:v>229376</c:v>
                </c:pt>
                <c:pt idx="30">
                  <c:v>262144</c:v>
                </c:pt>
                <c:pt idx="31">
                  <c:v>294912</c:v>
                </c:pt>
                <c:pt idx="32">
                  <c:v>327680</c:v>
                </c:pt>
                <c:pt idx="33">
                  <c:v>393216</c:v>
                </c:pt>
                <c:pt idx="34">
                  <c:v>458752</c:v>
                </c:pt>
                <c:pt idx="35">
                  <c:v>524288</c:v>
                </c:pt>
                <c:pt idx="36">
                  <c:v>589824</c:v>
                </c:pt>
                <c:pt idx="37">
                  <c:v>655360</c:v>
                </c:pt>
                <c:pt idx="38">
                  <c:v>786432</c:v>
                </c:pt>
                <c:pt idx="39">
                  <c:v>917504</c:v>
                </c:pt>
                <c:pt idx="40">
                  <c:v>1048576</c:v>
                </c:pt>
                <c:pt idx="41">
                  <c:v>1179648</c:v>
                </c:pt>
                <c:pt idx="42">
                  <c:v>1572864</c:v>
                </c:pt>
                <c:pt idx="43">
                  <c:v>1835008</c:v>
                </c:pt>
                <c:pt idx="44">
                  <c:v>2097152</c:v>
                </c:pt>
                <c:pt idx="45">
                  <c:v>2359296</c:v>
                </c:pt>
              </c:numCache>
            </c:numRef>
          </c:val>
          <c:smooth val="0"/>
          <c:extLst>
            <c:ext xmlns:c16="http://schemas.microsoft.com/office/drawing/2014/chart" uri="{C3380CC4-5D6E-409C-BE32-E72D297353CC}">
              <c16:uniqueId val="{00000000-7972-43AB-83E8-C2C99B4277B0}"/>
            </c:ext>
          </c:extLst>
        </c:ser>
        <c:ser>
          <c:idx val="2"/>
          <c:order val="1"/>
          <c:tx>
            <c:strRef>
              <c:f>Projections!$A$68</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Projections!$P$68:$BN$68</c15:sqref>
                  </c15:fullRef>
                </c:ext>
              </c:extLst>
              <c:f>(Projections!$P$68:$BE$68,Projections!$BG$68:$BJ$68)</c:f>
              <c:numCache>
                <c:formatCode>#,##0</c:formatCode>
                <c:ptCount val="46"/>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142540.80000000002</c:v>
                </c:pt>
                <c:pt idx="19">
                  <c:v>166297.60000000001</c:v>
                </c:pt>
                <c:pt idx="20">
                  <c:v>190054.40000000002</c:v>
                </c:pt>
                <c:pt idx="21">
                  <c:v>213811.20000000001</c:v>
                </c:pt>
                <c:pt idx="22">
                  <c:v>237568</c:v>
                </c:pt>
                <c:pt idx="23">
                  <c:v>285081.60000000003</c:v>
                </c:pt>
                <c:pt idx="24">
                  <c:v>332595.20000000001</c:v>
                </c:pt>
                <c:pt idx="25">
                  <c:v>380108.80000000005</c:v>
                </c:pt>
                <c:pt idx="26">
                  <c:v>427622.40000000002</c:v>
                </c:pt>
                <c:pt idx="27">
                  <c:v>475136</c:v>
                </c:pt>
                <c:pt idx="28">
                  <c:v>570163.20000000007</c:v>
                </c:pt>
                <c:pt idx="29">
                  <c:v>665190.40000000002</c:v>
                </c:pt>
                <c:pt idx="30">
                  <c:v>760217.60000000009</c:v>
                </c:pt>
                <c:pt idx="31">
                  <c:v>855244.80000000005</c:v>
                </c:pt>
                <c:pt idx="32">
                  <c:v>950272</c:v>
                </c:pt>
                <c:pt idx="33">
                  <c:v>1140326.4000000001</c:v>
                </c:pt>
                <c:pt idx="34">
                  <c:v>1330380.8</c:v>
                </c:pt>
                <c:pt idx="35">
                  <c:v>1520435.2000000002</c:v>
                </c:pt>
                <c:pt idx="36">
                  <c:v>1710489.6000000001</c:v>
                </c:pt>
                <c:pt idx="37">
                  <c:v>1900544</c:v>
                </c:pt>
                <c:pt idx="38">
                  <c:v>2280652.8000000003</c:v>
                </c:pt>
                <c:pt idx="39">
                  <c:v>2660761.6000000001</c:v>
                </c:pt>
                <c:pt idx="40">
                  <c:v>3040870.4000000004</c:v>
                </c:pt>
                <c:pt idx="41">
                  <c:v>3420979.2000000002</c:v>
                </c:pt>
                <c:pt idx="42">
                  <c:v>4561305.6000000006</c:v>
                </c:pt>
                <c:pt idx="43">
                  <c:v>5321523.2000000002</c:v>
                </c:pt>
                <c:pt idx="44">
                  <c:v>6081740.8000000007</c:v>
                </c:pt>
                <c:pt idx="45">
                  <c:v>6841958.4000000004</c:v>
                </c:pt>
              </c:numCache>
            </c:numRef>
          </c:val>
          <c:smooth val="0"/>
          <c:extLst>
            <c:ext xmlns:c16="http://schemas.microsoft.com/office/drawing/2014/chart" uri="{C3380CC4-5D6E-409C-BE32-E72D297353CC}">
              <c16:uniqueId val="{00000001-7972-43AB-83E8-C2C99B4277B0}"/>
            </c:ext>
          </c:extLst>
        </c:ser>
        <c:ser>
          <c:idx val="4"/>
          <c:order val="2"/>
          <c:tx>
            <c:strRef>
              <c:f>Projections!$A$70</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Projections!$P$70:$BN$70</c15:sqref>
                  </c15:fullRef>
                </c:ext>
              </c:extLst>
              <c:f>(Projections!$P$70:$BE$70,Projections!$BG$70:$BJ$70)</c:f>
              <c:numCache>
                <c:formatCode>#,##0</c:formatCode>
                <c:ptCount val="46"/>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594739.19999999995</c:v>
                </c:pt>
                <c:pt idx="19">
                  <c:v>693862.40000000002</c:v>
                </c:pt>
                <c:pt idx="20">
                  <c:v>792985.59999999998</c:v>
                </c:pt>
                <c:pt idx="21">
                  <c:v>892108.79999999993</c:v>
                </c:pt>
                <c:pt idx="22">
                  <c:v>991232</c:v>
                </c:pt>
                <c:pt idx="23">
                  <c:v>1189478.3999999999</c:v>
                </c:pt>
                <c:pt idx="24">
                  <c:v>1387724.8</c:v>
                </c:pt>
                <c:pt idx="25">
                  <c:v>1585971.2</c:v>
                </c:pt>
                <c:pt idx="26">
                  <c:v>1784217.5999999999</c:v>
                </c:pt>
                <c:pt idx="27">
                  <c:v>1982464</c:v>
                </c:pt>
                <c:pt idx="28">
                  <c:v>2378956.7999999998</c:v>
                </c:pt>
                <c:pt idx="29">
                  <c:v>2775449.6000000001</c:v>
                </c:pt>
                <c:pt idx="30">
                  <c:v>3171942.3999999999</c:v>
                </c:pt>
                <c:pt idx="31">
                  <c:v>3568435.1999999997</c:v>
                </c:pt>
                <c:pt idx="32">
                  <c:v>3964928</c:v>
                </c:pt>
                <c:pt idx="33">
                  <c:v>4757913.5999999996</c:v>
                </c:pt>
                <c:pt idx="34">
                  <c:v>5550899.2000000002</c:v>
                </c:pt>
                <c:pt idx="35">
                  <c:v>6343884.7999999998</c:v>
                </c:pt>
                <c:pt idx="36">
                  <c:v>7136870.3999999994</c:v>
                </c:pt>
                <c:pt idx="37">
                  <c:v>7929856</c:v>
                </c:pt>
                <c:pt idx="38">
                  <c:v>9515827.1999999993</c:v>
                </c:pt>
                <c:pt idx="39">
                  <c:v>11101798.4</c:v>
                </c:pt>
                <c:pt idx="40">
                  <c:v>12687769.6</c:v>
                </c:pt>
                <c:pt idx="41">
                  <c:v>14273740.799999999</c:v>
                </c:pt>
                <c:pt idx="42">
                  <c:v>19031654.399999999</c:v>
                </c:pt>
                <c:pt idx="43">
                  <c:v>22203596.800000001</c:v>
                </c:pt>
                <c:pt idx="44">
                  <c:v>25375539.199999999</c:v>
                </c:pt>
                <c:pt idx="45">
                  <c:v>28547481.599999998</c:v>
                </c:pt>
              </c:numCache>
            </c:numRef>
          </c:val>
          <c:smooth val="0"/>
          <c:extLst>
            <c:ext xmlns:c16="http://schemas.microsoft.com/office/drawing/2014/chart" uri="{C3380CC4-5D6E-409C-BE32-E72D297353CC}">
              <c16:uniqueId val="{00000002-7972-43AB-83E8-C2C99B4277B0}"/>
            </c:ext>
          </c:extLst>
        </c:ser>
        <c:ser>
          <c:idx val="6"/>
          <c:order val="3"/>
          <c:tx>
            <c:strRef>
              <c:f>Projections!$A$72</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Projections!$P$72:$BN$72</c15:sqref>
                  </c15:fullRef>
                </c:ext>
              </c:extLst>
              <c:f>(Projections!$P$72:$BE$72,Projections!$BG$72:$BJ$72)</c:f>
              <c:numCache>
                <c:formatCode>#,##0</c:formatCode>
                <c:ptCount val="46"/>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781516.80000000005</c:v>
                </c:pt>
                <c:pt idx="19">
                  <c:v>911769.59999999998</c:v>
                </c:pt>
                <c:pt idx="20">
                  <c:v>1042022.4</c:v>
                </c:pt>
                <c:pt idx="21">
                  <c:v>1172275.2</c:v>
                </c:pt>
                <c:pt idx="22">
                  <c:v>1302528</c:v>
                </c:pt>
                <c:pt idx="23">
                  <c:v>1563033.6000000001</c:v>
                </c:pt>
                <c:pt idx="24">
                  <c:v>1823539.2</c:v>
                </c:pt>
                <c:pt idx="25">
                  <c:v>2084044.8</c:v>
                </c:pt>
                <c:pt idx="26">
                  <c:v>2344550.3999999999</c:v>
                </c:pt>
                <c:pt idx="27">
                  <c:v>2605056</c:v>
                </c:pt>
                <c:pt idx="28">
                  <c:v>3126067.2000000002</c:v>
                </c:pt>
                <c:pt idx="29">
                  <c:v>3647078.3999999999</c:v>
                </c:pt>
                <c:pt idx="30">
                  <c:v>4168089.6000000001</c:v>
                </c:pt>
                <c:pt idx="31">
                  <c:v>4689100.7999999998</c:v>
                </c:pt>
                <c:pt idx="32">
                  <c:v>5210112</c:v>
                </c:pt>
                <c:pt idx="33">
                  <c:v>6252134.4000000004</c:v>
                </c:pt>
                <c:pt idx="34">
                  <c:v>7294156.7999999998</c:v>
                </c:pt>
                <c:pt idx="35">
                  <c:v>8336179.2000000002</c:v>
                </c:pt>
                <c:pt idx="36">
                  <c:v>9378201.5999999996</c:v>
                </c:pt>
                <c:pt idx="37">
                  <c:v>10420224</c:v>
                </c:pt>
                <c:pt idx="38">
                  <c:v>12504268.800000001</c:v>
                </c:pt>
                <c:pt idx="39">
                  <c:v>14588313.6</c:v>
                </c:pt>
                <c:pt idx="40">
                  <c:v>16672358.4</c:v>
                </c:pt>
                <c:pt idx="41">
                  <c:v>18756403.199999999</c:v>
                </c:pt>
                <c:pt idx="42">
                  <c:v>25008537.600000001</c:v>
                </c:pt>
                <c:pt idx="43">
                  <c:v>29176627.199999999</c:v>
                </c:pt>
                <c:pt idx="44">
                  <c:v>33344716.800000001</c:v>
                </c:pt>
                <c:pt idx="45">
                  <c:v>37512806.399999999</c:v>
                </c:pt>
              </c:numCache>
            </c:numRef>
          </c:val>
          <c:smooth val="0"/>
          <c:extLst>
            <c:ext xmlns:c16="http://schemas.microsoft.com/office/drawing/2014/chart" uri="{C3380CC4-5D6E-409C-BE32-E72D297353CC}">
              <c16:uniqueId val="{00000003-7972-43AB-83E8-C2C99B4277B0}"/>
            </c:ext>
          </c:extLst>
        </c:ser>
        <c:ser>
          <c:idx val="8"/>
          <c:order val="4"/>
          <c:tx>
            <c:strRef>
              <c:f>Projections!$A$74</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Projections!$P$74:$BN$74</c15:sqref>
                  </c15:fullRef>
                </c:ext>
              </c:extLst>
              <c:f>(Projections!$P$74:$BE$74,Projections!$BG$74:$BJ$74)</c:f>
              <c:numCache>
                <c:formatCode>#,##0</c:formatCode>
                <c:ptCount val="46"/>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840499.20000000007</c:v>
                </c:pt>
                <c:pt idx="19">
                  <c:v>980582.40000000002</c:v>
                </c:pt>
                <c:pt idx="20">
                  <c:v>1120665.6000000001</c:v>
                </c:pt>
                <c:pt idx="21">
                  <c:v>1260748.8</c:v>
                </c:pt>
                <c:pt idx="22">
                  <c:v>1400832</c:v>
                </c:pt>
                <c:pt idx="23">
                  <c:v>1680998.4000000001</c:v>
                </c:pt>
                <c:pt idx="24">
                  <c:v>1961164.8</c:v>
                </c:pt>
                <c:pt idx="25">
                  <c:v>2241331.2000000002</c:v>
                </c:pt>
                <c:pt idx="26">
                  <c:v>2521497.6000000001</c:v>
                </c:pt>
                <c:pt idx="27">
                  <c:v>2801664</c:v>
                </c:pt>
                <c:pt idx="28">
                  <c:v>3361996.8000000003</c:v>
                </c:pt>
                <c:pt idx="29">
                  <c:v>3922329.6000000001</c:v>
                </c:pt>
                <c:pt idx="30">
                  <c:v>4482662.4000000004</c:v>
                </c:pt>
                <c:pt idx="31">
                  <c:v>5042995.2000000002</c:v>
                </c:pt>
                <c:pt idx="32">
                  <c:v>5603328</c:v>
                </c:pt>
                <c:pt idx="33">
                  <c:v>6723993.6000000006</c:v>
                </c:pt>
                <c:pt idx="34">
                  <c:v>7844659.2000000002</c:v>
                </c:pt>
                <c:pt idx="35">
                  <c:v>8965324.8000000007</c:v>
                </c:pt>
                <c:pt idx="36">
                  <c:v>10085990.4</c:v>
                </c:pt>
                <c:pt idx="37">
                  <c:v>11206656</c:v>
                </c:pt>
                <c:pt idx="38">
                  <c:v>13447987.200000001</c:v>
                </c:pt>
                <c:pt idx="39">
                  <c:v>15689318.4</c:v>
                </c:pt>
                <c:pt idx="40">
                  <c:v>17930649.600000001</c:v>
                </c:pt>
                <c:pt idx="41">
                  <c:v>20171980.800000001</c:v>
                </c:pt>
                <c:pt idx="42">
                  <c:v>26895974.400000002</c:v>
                </c:pt>
                <c:pt idx="43">
                  <c:v>31378636.800000001</c:v>
                </c:pt>
                <c:pt idx="44">
                  <c:v>35861299.200000003</c:v>
                </c:pt>
                <c:pt idx="45">
                  <c:v>40343961.600000001</c:v>
                </c:pt>
              </c:numCache>
            </c:numRef>
          </c:val>
          <c:smooth val="0"/>
          <c:extLst>
            <c:ext xmlns:c16="http://schemas.microsoft.com/office/drawing/2014/chart" uri="{C3380CC4-5D6E-409C-BE32-E72D297353CC}">
              <c16:uniqueId val="{00000004-7972-43AB-83E8-C2C99B4277B0}"/>
            </c:ext>
          </c:extLst>
        </c:ser>
        <c:ser>
          <c:idx val="10"/>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Projections!$P$76:$BN$76</c15:sqref>
                  </c15:fullRef>
                </c:ext>
              </c:extLst>
              <c:f>(Projections!$P$76:$BE$76,Projections!$BG$76:$BJ$76)</c:f>
              <c:numCache>
                <c:formatCode>#,##0</c:formatCode>
                <c:ptCount val="46"/>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1076428.8</c:v>
                </c:pt>
                <c:pt idx="19">
                  <c:v>1255833.6000000001</c:v>
                </c:pt>
                <c:pt idx="20">
                  <c:v>1435238.3999999999</c:v>
                </c:pt>
                <c:pt idx="21">
                  <c:v>1614643.2</c:v>
                </c:pt>
                <c:pt idx="22">
                  <c:v>1794048</c:v>
                </c:pt>
                <c:pt idx="23">
                  <c:v>2152857.6000000001</c:v>
                </c:pt>
                <c:pt idx="24">
                  <c:v>2511667.2000000002</c:v>
                </c:pt>
                <c:pt idx="25">
                  <c:v>2870476.7999999998</c:v>
                </c:pt>
                <c:pt idx="26">
                  <c:v>3229286.3999999999</c:v>
                </c:pt>
                <c:pt idx="27">
                  <c:v>3588096</c:v>
                </c:pt>
                <c:pt idx="28">
                  <c:v>4305715.2000000002</c:v>
                </c:pt>
                <c:pt idx="29">
                  <c:v>5023334.4000000004</c:v>
                </c:pt>
                <c:pt idx="30">
                  <c:v>5740953.5999999996</c:v>
                </c:pt>
                <c:pt idx="31">
                  <c:v>6458572.7999999998</c:v>
                </c:pt>
                <c:pt idx="32">
                  <c:v>7176192</c:v>
                </c:pt>
                <c:pt idx="33">
                  <c:v>8611430.4000000004</c:v>
                </c:pt>
                <c:pt idx="34">
                  <c:v>10046668.800000001</c:v>
                </c:pt>
                <c:pt idx="35">
                  <c:v>11481907.199999999</c:v>
                </c:pt>
                <c:pt idx="36">
                  <c:v>12917145.6</c:v>
                </c:pt>
                <c:pt idx="37">
                  <c:v>14352384</c:v>
                </c:pt>
                <c:pt idx="38">
                  <c:v>17222860.800000001</c:v>
                </c:pt>
                <c:pt idx="39">
                  <c:v>20093337.600000001</c:v>
                </c:pt>
                <c:pt idx="40">
                  <c:v>22963814.399999999</c:v>
                </c:pt>
                <c:pt idx="41">
                  <c:v>25834291.199999999</c:v>
                </c:pt>
                <c:pt idx="42">
                  <c:v>34445721.600000001</c:v>
                </c:pt>
                <c:pt idx="43">
                  <c:v>40186675.200000003</c:v>
                </c:pt>
                <c:pt idx="44">
                  <c:v>45927628.799999997</c:v>
                </c:pt>
                <c:pt idx="45">
                  <c:v>51668582.399999999</c:v>
                </c:pt>
              </c:numCache>
            </c:numRef>
          </c:val>
          <c:smooth val="0"/>
          <c:extLst>
            <c:ext xmlns:c16="http://schemas.microsoft.com/office/drawing/2014/chart" uri="{C3380CC4-5D6E-409C-BE32-E72D297353CC}">
              <c16:uniqueId val="{00000005-7972-43AB-83E8-C2C99B4277B0}"/>
            </c:ext>
          </c:extLst>
        </c:ser>
        <c:ser>
          <c:idx val="12"/>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Projections!$P$78:$BN$78</c15:sqref>
                  </c15:fullRef>
                </c:ext>
              </c:extLst>
              <c:f>(Projections!$P$78:$BE$78,Projections!$BG$78:$BJ$78)</c:f>
              <c:numCache>
                <c:formatCode>#,##0</c:formatCode>
                <c:ptCount val="46"/>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1140326.4000000001</c:v>
                </c:pt>
                <c:pt idx="19">
                  <c:v>1330380.8</c:v>
                </c:pt>
                <c:pt idx="20">
                  <c:v>1520435.2000000002</c:v>
                </c:pt>
                <c:pt idx="21">
                  <c:v>1710489.6000000001</c:v>
                </c:pt>
                <c:pt idx="22">
                  <c:v>1900544</c:v>
                </c:pt>
                <c:pt idx="23">
                  <c:v>2280652.8000000003</c:v>
                </c:pt>
                <c:pt idx="24">
                  <c:v>2660761.6000000001</c:v>
                </c:pt>
                <c:pt idx="25">
                  <c:v>3040870.4000000004</c:v>
                </c:pt>
                <c:pt idx="26">
                  <c:v>3420979.2000000002</c:v>
                </c:pt>
                <c:pt idx="27">
                  <c:v>3801088</c:v>
                </c:pt>
                <c:pt idx="28">
                  <c:v>4561305.6000000006</c:v>
                </c:pt>
                <c:pt idx="29">
                  <c:v>5321523.2000000002</c:v>
                </c:pt>
                <c:pt idx="30">
                  <c:v>6081740.8000000007</c:v>
                </c:pt>
                <c:pt idx="31">
                  <c:v>6841958.4000000004</c:v>
                </c:pt>
                <c:pt idx="32">
                  <c:v>7602176</c:v>
                </c:pt>
                <c:pt idx="33">
                  <c:v>9122611.2000000011</c:v>
                </c:pt>
                <c:pt idx="34">
                  <c:v>10643046.4</c:v>
                </c:pt>
                <c:pt idx="35">
                  <c:v>12163481.600000001</c:v>
                </c:pt>
                <c:pt idx="36">
                  <c:v>13683916.800000001</c:v>
                </c:pt>
                <c:pt idx="37">
                  <c:v>15204352</c:v>
                </c:pt>
                <c:pt idx="38">
                  <c:v>18245222.400000002</c:v>
                </c:pt>
                <c:pt idx="39">
                  <c:v>21286092.800000001</c:v>
                </c:pt>
                <c:pt idx="40">
                  <c:v>24326963.200000003</c:v>
                </c:pt>
                <c:pt idx="41">
                  <c:v>27367833.600000001</c:v>
                </c:pt>
                <c:pt idx="42">
                  <c:v>36490444.800000004</c:v>
                </c:pt>
                <c:pt idx="43">
                  <c:v>42572185.600000001</c:v>
                </c:pt>
                <c:pt idx="44">
                  <c:v>48653926.400000006</c:v>
                </c:pt>
                <c:pt idx="45">
                  <c:v>54735667.200000003</c:v>
                </c:pt>
              </c:numCache>
            </c:numRef>
          </c:val>
          <c:smooth val="0"/>
          <c:extLst>
            <c:ext xmlns:c16="http://schemas.microsoft.com/office/drawing/2014/chart" uri="{C3380CC4-5D6E-409C-BE32-E72D297353CC}">
              <c16:uniqueId val="{00000006-7972-43AB-83E8-C2C99B4277B0}"/>
            </c:ext>
          </c:extLst>
        </c:ser>
        <c:ser>
          <c:idx val="14"/>
          <c:order val="7"/>
          <c:tx>
            <c:strRef>
              <c:f>Projections!$A$80</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Projections!$P$80:$BN$80</c15:sqref>
                  </c15:fullRef>
                </c:ext>
              </c:extLst>
              <c:f>(Projections!$P$80:$BE$80,Projections!$BG$80:$BJ$80)</c:f>
              <c:numCache>
                <c:formatCode>#,##0</c:formatCode>
                <c:ptCount val="46"/>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186777.60000000001</c:v>
                </c:pt>
                <c:pt idx="19">
                  <c:v>217907.19999999998</c:v>
                </c:pt>
                <c:pt idx="20">
                  <c:v>249036.79999999999</c:v>
                </c:pt>
                <c:pt idx="21">
                  <c:v>280166.39999999997</c:v>
                </c:pt>
                <c:pt idx="22">
                  <c:v>311296</c:v>
                </c:pt>
                <c:pt idx="23">
                  <c:v>373555.20000000001</c:v>
                </c:pt>
                <c:pt idx="24">
                  <c:v>435814.39999999997</c:v>
                </c:pt>
                <c:pt idx="25">
                  <c:v>498073.59999999998</c:v>
                </c:pt>
                <c:pt idx="26">
                  <c:v>560332.79999999993</c:v>
                </c:pt>
                <c:pt idx="27">
                  <c:v>622592</c:v>
                </c:pt>
                <c:pt idx="28">
                  <c:v>747110.40000000002</c:v>
                </c:pt>
                <c:pt idx="29">
                  <c:v>871628.79999999993</c:v>
                </c:pt>
                <c:pt idx="30">
                  <c:v>996147.19999999995</c:v>
                </c:pt>
                <c:pt idx="31">
                  <c:v>1120665.5999999999</c:v>
                </c:pt>
                <c:pt idx="32">
                  <c:v>1245184</c:v>
                </c:pt>
                <c:pt idx="33">
                  <c:v>1494220.8</c:v>
                </c:pt>
                <c:pt idx="34">
                  <c:v>1743257.5999999999</c:v>
                </c:pt>
                <c:pt idx="35">
                  <c:v>1992294.3999999999</c:v>
                </c:pt>
                <c:pt idx="36">
                  <c:v>2241331.1999999997</c:v>
                </c:pt>
                <c:pt idx="37">
                  <c:v>2490368</c:v>
                </c:pt>
                <c:pt idx="38">
                  <c:v>2988441.6000000001</c:v>
                </c:pt>
                <c:pt idx="39">
                  <c:v>3486515.1999999997</c:v>
                </c:pt>
                <c:pt idx="40">
                  <c:v>3984588.7999999998</c:v>
                </c:pt>
                <c:pt idx="41">
                  <c:v>4482662.3999999994</c:v>
                </c:pt>
                <c:pt idx="42">
                  <c:v>5976883.2000000002</c:v>
                </c:pt>
                <c:pt idx="43">
                  <c:v>6973030.3999999994</c:v>
                </c:pt>
                <c:pt idx="44">
                  <c:v>7969177.5999999996</c:v>
                </c:pt>
                <c:pt idx="45">
                  <c:v>8965324.7999999989</c:v>
                </c:pt>
              </c:numCache>
            </c:numRef>
          </c:val>
          <c:smooth val="0"/>
          <c:extLst>
            <c:ext xmlns:c16="http://schemas.microsoft.com/office/drawing/2014/chart" uri="{C3380CC4-5D6E-409C-BE32-E72D297353CC}">
              <c16:uniqueId val="{00000007-7972-43AB-83E8-C2C99B4277B0}"/>
            </c:ext>
          </c:extLst>
        </c:ser>
        <c:ser>
          <c:idx val="16"/>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Projections!$P$82:$BN$82</c15:sqref>
                  </c15:fullRef>
                </c:ext>
              </c:extLst>
              <c:f>(Projections!$P$82:$BE$82,Projections!$BG$82:$BJ$82)</c:f>
              <c:numCache>
                <c:formatCode>#,##0</c:formatCode>
                <c:ptCount val="46"/>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103219.20000000001</c:v>
                </c:pt>
                <c:pt idx="19">
                  <c:v>120422.40000000001</c:v>
                </c:pt>
                <c:pt idx="20">
                  <c:v>137625.60000000001</c:v>
                </c:pt>
                <c:pt idx="21">
                  <c:v>154828.80000000002</c:v>
                </c:pt>
                <c:pt idx="22">
                  <c:v>172032</c:v>
                </c:pt>
                <c:pt idx="23">
                  <c:v>206438.40000000002</c:v>
                </c:pt>
                <c:pt idx="24">
                  <c:v>240844.80000000002</c:v>
                </c:pt>
                <c:pt idx="25">
                  <c:v>275251.20000000001</c:v>
                </c:pt>
                <c:pt idx="26">
                  <c:v>309657.60000000003</c:v>
                </c:pt>
                <c:pt idx="27">
                  <c:v>344064</c:v>
                </c:pt>
                <c:pt idx="28">
                  <c:v>412876.80000000005</c:v>
                </c:pt>
                <c:pt idx="29">
                  <c:v>481689.60000000003</c:v>
                </c:pt>
                <c:pt idx="30">
                  <c:v>550502.40000000002</c:v>
                </c:pt>
                <c:pt idx="31">
                  <c:v>619315.20000000007</c:v>
                </c:pt>
                <c:pt idx="32">
                  <c:v>688128</c:v>
                </c:pt>
                <c:pt idx="33">
                  <c:v>825753.60000000009</c:v>
                </c:pt>
                <c:pt idx="34">
                  <c:v>963379.20000000007</c:v>
                </c:pt>
                <c:pt idx="35">
                  <c:v>1101004.8</c:v>
                </c:pt>
                <c:pt idx="36">
                  <c:v>1238630.4000000001</c:v>
                </c:pt>
                <c:pt idx="37">
                  <c:v>1376256</c:v>
                </c:pt>
                <c:pt idx="38">
                  <c:v>1651507.2000000002</c:v>
                </c:pt>
                <c:pt idx="39">
                  <c:v>1926758.4000000001</c:v>
                </c:pt>
                <c:pt idx="40">
                  <c:v>2202009.6000000001</c:v>
                </c:pt>
                <c:pt idx="41">
                  <c:v>2477260.8000000003</c:v>
                </c:pt>
                <c:pt idx="42">
                  <c:v>3303014.4000000004</c:v>
                </c:pt>
                <c:pt idx="43">
                  <c:v>3853516.8000000003</c:v>
                </c:pt>
                <c:pt idx="44">
                  <c:v>4404019.2000000002</c:v>
                </c:pt>
                <c:pt idx="45">
                  <c:v>4954521.6000000006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Projections!$A$66</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Projections!$P$67:$BN$67</c15:sqref>
                  </c15:fullRef>
                </c:ext>
              </c:extLst>
              <c:f>(Projections!$P$67:$BE$67,Projections!$BG$67:$BJ$67)</c:f>
              <c:numCache>
                <c:formatCode>#,##0</c:formatCode>
                <c:ptCount val="46"/>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7274.4959999999992</c:v>
                </c:pt>
                <c:pt idx="19">
                  <c:v>8486.9120000000003</c:v>
                </c:pt>
                <c:pt idx="20">
                  <c:v>9699.3279999999995</c:v>
                </c:pt>
                <c:pt idx="21">
                  <c:v>10911.743999999999</c:v>
                </c:pt>
                <c:pt idx="22">
                  <c:v>12124.16</c:v>
                </c:pt>
                <c:pt idx="23">
                  <c:v>14548.991999999998</c:v>
                </c:pt>
                <c:pt idx="24">
                  <c:v>16973.824000000001</c:v>
                </c:pt>
                <c:pt idx="25">
                  <c:v>19398.655999999999</c:v>
                </c:pt>
                <c:pt idx="26">
                  <c:v>21823.487999999998</c:v>
                </c:pt>
                <c:pt idx="27">
                  <c:v>24248.32</c:v>
                </c:pt>
                <c:pt idx="28">
                  <c:v>29097.983999999997</c:v>
                </c:pt>
                <c:pt idx="29">
                  <c:v>33947.648000000001</c:v>
                </c:pt>
                <c:pt idx="30">
                  <c:v>38797.311999999998</c:v>
                </c:pt>
                <c:pt idx="31">
                  <c:v>43646.975999999995</c:v>
                </c:pt>
                <c:pt idx="32">
                  <c:v>48496.639999999999</c:v>
                </c:pt>
                <c:pt idx="33">
                  <c:v>58195.967999999993</c:v>
                </c:pt>
                <c:pt idx="34">
                  <c:v>67895.296000000002</c:v>
                </c:pt>
                <c:pt idx="35">
                  <c:v>77594.623999999996</c:v>
                </c:pt>
                <c:pt idx="36">
                  <c:v>87293.95199999999</c:v>
                </c:pt>
                <c:pt idx="37">
                  <c:v>96993.279999999999</c:v>
                </c:pt>
                <c:pt idx="38">
                  <c:v>116391.93599999999</c:v>
                </c:pt>
                <c:pt idx="39">
                  <c:v>135790.592</c:v>
                </c:pt>
                <c:pt idx="40">
                  <c:v>155189.24799999999</c:v>
                </c:pt>
                <c:pt idx="41">
                  <c:v>174587.90399999998</c:v>
                </c:pt>
                <c:pt idx="42">
                  <c:v>232783.87199999997</c:v>
                </c:pt>
                <c:pt idx="43">
                  <c:v>271581.18400000001</c:v>
                </c:pt>
                <c:pt idx="44">
                  <c:v>310378.49599999998</c:v>
                </c:pt>
                <c:pt idx="45">
                  <c:v>349175.80799999996</c:v>
                </c:pt>
              </c:numCache>
            </c:numRef>
          </c:val>
          <c:smooth val="0"/>
          <c:extLst>
            <c:ext xmlns:c16="http://schemas.microsoft.com/office/drawing/2014/chart" uri="{C3380CC4-5D6E-409C-BE32-E72D297353CC}">
              <c16:uniqueId val="{00000000-FE50-482D-905D-7C3B099138E4}"/>
            </c:ext>
          </c:extLst>
        </c:ser>
        <c:ser>
          <c:idx val="3"/>
          <c:order val="1"/>
          <c:tx>
            <c:strRef>
              <c:f>Projections!$A$68</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Projections!$P$69:$BN$69</c15:sqref>
                  </c15:fullRef>
                </c:ext>
              </c:extLst>
              <c:f>(Projections!$P$69:$BE$69,Projections!$BG$69:$BJ$69)</c:f>
              <c:numCache>
                <c:formatCode>#,##0</c:formatCode>
                <c:ptCount val="46"/>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11403.264000000001</c:v>
                </c:pt>
                <c:pt idx="19">
                  <c:v>13303.808000000001</c:v>
                </c:pt>
                <c:pt idx="20">
                  <c:v>15204.352000000003</c:v>
                </c:pt>
                <c:pt idx="21">
                  <c:v>17104.896000000001</c:v>
                </c:pt>
                <c:pt idx="22">
                  <c:v>19005.439999999999</c:v>
                </c:pt>
                <c:pt idx="23">
                  <c:v>22806.528000000002</c:v>
                </c:pt>
                <c:pt idx="24">
                  <c:v>26607.616000000002</c:v>
                </c:pt>
                <c:pt idx="25">
                  <c:v>30408.704000000005</c:v>
                </c:pt>
                <c:pt idx="26">
                  <c:v>34209.792000000001</c:v>
                </c:pt>
                <c:pt idx="27">
                  <c:v>38010.879999999997</c:v>
                </c:pt>
                <c:pt idx="28">
                  <c:v>45613.056000000004</c:v>
                </c:pt>
                <c:pt idx="29">
                  <c:v>53215.232000000004</c:v>
                </c:pt>
                <c:pt idx="30">
                  <c:v>60817.40800000001</c:v>
                </c:pt>
                <c:pt idx="31">
                  <c:v>68419.584000000003</c:v>
                </c:pt>
                <c:pt idx="32">
                  <c:v>76021.759999999995</c:v>
                </c:pt>
                <c:pt idx="33">
                  <c:v>91226.112000000008</c:v>
                </c:pt>
                <c:pt idx="34">
                  <c:v>106430.46400000001</c:v>
                </c:pt>
                <c:pt idx="35">
                  <c:v>121634.81600000002</c:v>
                </c:pt>
                <c:pt idx="36">
                  <c:v>136839.16800000001</c:v>
                </c:pt>
                <c:pt idx="37">
                  <c:v>152043.51999999999</c:v>
                </c:pt>
                <c:pt idx="38">
                  <c:v>182452.22400000002</c:v>
                </c:pt>
                <c:pt idx="39">
                  <c:v>212860.92800000001</c:v>
                </c:pt>
                <c:pt idx="40">
                  <c:v>243269.63200000004</c:v>
                </c:pt>
                <c:pt idx="41">
                  <c:v>273678.33600000001</c:v>
                </c:pt>
                <c:pt idx="42">
                  <c:v>364904.44800000003</c:v>
                </c:pt>
                <c:pt idx="43">
                  <c:v>425721.85600000003</c:v>
                </c:pt>
                <c:pt idx="44">
                  <c:v>486539.26400000008</c:v>
                </c:pt>
                <c:pt idx="45">
                  <c:v>547356.67200000002</c:v>
                </c:pt>
              </c:numCache>
            </c:numRef>
          </c:val>
          <c:smooth val="0"/>
          <c:extLst>
            <c:ext xmlns:c16="http://schemas.microsoft.com/office/drawing/2014/chart" uri="{C3380CC4-5D6E-409C-BE32-E72D297353CC}">
              <c16:uniqueId val="{00000001-FE50-482D-905D-7C3B099138E4}"/>
            </c:ext>
          </c:extLst>
        </c:ser>
        <c:ser>
          <c:idx val="5"/>
          <c:order val="2"/>
          <c:tx>
            <c:strRef>
              <c:f>Projections!$A$70</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Projections!$P$71:$BN$71</c15:sqref>
                  </c15:fullRef>
                </c:ext>
              </c:extLst>
              <c:f>(Projections!$P$71:$BE$71,Projections!$BG$71:$BJ$71)</c:f>
              <c:numCache>
                <c:formatCode>#,##0</c:formatCode>
                <c:ptCount val="46"/>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21410.611199999996</c:v>
                </c:pt>
                <c:pt idx="19">
                  <c:v>24979.046399999999</c:v>
                </c:pt>
                <c:pt idx="20">
                  <c:v>28547.481599999996</c:v>
                </c:pt>
                <c:pt idx="21">
                  <c:v>32115.916799999995</c:v>
                </c:pt>
                <c:pt idx="22">
                  <c:v>35684.351999999999</c:v>
                </c:pt>
                <c:pt idx="23">
                  <c:v>42821.222399999991</c:v>
                </c:pt>
                <c:pt idx="24">
                  <c:v>49958.092799999999</c:v>
                </c:pt>
                <c:pt idx="25">
                  <c:v>57094.963199999991</c:v>
                </c:pt>
                <c:pt idx="26">
                  <c:v>64231.833599999991</c:v>
                </c:pt>
                <c:pt idx="27">
                  <c:v>71368.703999999998</c:v>
                </c:pt>
                <c:pt idx="28">
                  <c:v>85642.444799999983</c:v>
                </c:pt>
                <c:pt idx="29">
                  <c:v>99916.185599999997</c:v>
                </c:pt>
                <c:pt idx="30">
                  <c:v>114189.92639999998</c:v>
                </c:pt>
                <c:pt idx="31">
                  <c:v>128463.66719999998</c:v>
                </c:pt>
                <c:pt idx="32">
                  <c:v>142737.408</c:v>
                </c:pt>
                <c:pt idx="33">
                  <c:v>171284.88959999997</c:v>
                </c:pt>
                <c:pt idx="34">
                  <c:v>199832.37119999999</c:v>
                </c:pt>
                <c:pt idx="35">
                  <c:v>228379.85279999996</c:v>
                </c:pt>
                <c:pt idx="36">
                  <c:v>256927.33439999996</c:v>
                </c:pt>
                <c:pt idx="37">
                  <c:v>285474.81599999999</c:v>
                </c:pt>
                <c:pt idx="38">
                  <c:v>342569.77919999993</c:v>
                </c:pt>
                <c:pt idx="39">
                  <c:v>399664.74239999999</c:v>
                </c:pt>
                <c:pt idx="40">
                  <c:v>456759.70559999993</c:v>
                </c:pt>
                <c:pt idx="41">
                  <c:v>513854.66879999993</c:v>
                </c:pt>
                <c:pt idx="42">
                  <c:v>685139.55839999986</c:v>
                </c:pt>
                <c:pt idx="43">
                  <c:v>799329.48479999998</c:v>
                </c:pt>
                <c:pt idx="44">
                  <c:v>913519.41119999986</c:v>
                </c:pt>
                <c:pt idx="45">
                  <c:v>1027709.3375999999</c:v>
                </c:pt>
              </c:numCache>
            </c:numRef>
          </c:val>
          <c:smooth val="0"/>
          <c:extLst>
            <c:ext xmlns:c16="http://schemas.microsoft.com/office/drawing/2014/chart" uri="{C3380CC4-5D6E-409C-BE32-E72D297353CC}">
              <c16:uniqueId val="{00000002-FE50-482D-905D-7C3B099138E4}"/>
            </c:ext>
          </c:extLst>
        </c:ser>
        <c:ser>
          <c:idx val="7"/>
          <c:order val="3"/>
          <c:tx>
            <c:strRef>
              <c:f>Projections!$A$72</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Projections!$P$73:$BN$73</c15:sqref>
                  </c15:fullRef>
                </c:ext>
              </c:extLst>
              <c:f>(Projections!$P$73:$BE$73,Projections!$BG$73:$BJ$73)</c:f>
              <c:numCache>
                <c:formatCode>#,##0</c:formatCode>
                <c:ptCount val="46"/>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10159.7184</c:v>
                </c:pt>
                <c:pt idx="19">
                  <c:v>11853.004799999999</c:v>
                </c:pt>
                <c:pt idx="20">
                  <c:v>13546.2912</c:v>
                </c:pt>
                <c:pt idx="21">
                  <c:v>15239.577599999999</c:v>
                </c:pt>
                <c:pt idx="22">
                  <c:v>16932.863999999998</c:v>
                </c:pt>
                <c:pt idx="23">
                  <c:v>20319.436799999999</c:v>
                </c:pt>
                <c:pt idx="24">
                  <c:v>23706.009599999998</c:v>
                </c:pt>
                <c:pt idx="25">
                  <c:v>27092.582399999999</c:v>
                </c:pt>
                <c:pt idx="26">
                  <c:v>30479.155199999997</c:v>
                </c:pt>
                <c:pt idx="27">
                  <c:v>33865.727999999996</c:v>
                </c:pt>
                <c:pt idx="28">
                  <c:v>40638.873599999999</c:v>
                </c:pt>
                <c:pt idx="29">
                  <c:v>47412.019199999995</c:v>
                </c:pt>
                <c:pt idx="30">
                  <c:v>54185.164799999999</c:v>
                </c:pt>
                <c:pt idx="31">
                  <c:v>60958.310399999995</c:v>
                </c:pt>
                <c:pt idx="32">
                  <c:v>67731.455999999991</c:v>
                </c:pt>
                <c:pt idx="33">
                  <c:v>81277.747199999998</c:v>
                </c:pt>
                <c:pt idx="34">
                  <c:v>94824.03839999999</c:v>
                </c:pt>
                <c:pt idx="35">
                  <c:v>108370.3296</c:v>
                </c:pt>
                <c:pt idx="36">
                  <c:v>121916.62079999999</c:v>
                </c:pt>
                <c:pt idx="37">
                  <c:v>135462.91199999998</c:v>
                </c:pt>
                <c:pt idx="38">
                  <c:v>162555.4944</c:v>
                </c:pt>
                <c:pt idx="39">
                  <c:v>189648.07679999998</c:v>
                </c:pt>
                <c:pt idx="40">
                  <c:v>216740.65919999999</c:v>
                </c:pt>
                <c:pt idx="41">
                  <c:v>243833.24159999998</c:v>
                </c:pt>
                <c:pt idx="42">
                  <c:v>325110.98879999999</c:v>
                </c:pt>
                <c:pt idx="43">
                  <c:v>379296.15359999996</c:v>
                </c:pt>
                <c:pt idx="44">
                  <c:v>433481.31839999999</c:v>
                </c:pt>
                <c:pt idx="45">
                  <c:v>487666.48319999996</c:v>
                </c:pt>
              </c:numCache>
            </c:numRef>
          </c:val>
          <c:smooth val="0"/>
          <c:extLst>
            <c:ext xmlns:c16="http://schemas.microsoft.com/office/drawing/2014/chart" uri="{C3380CC4-5D6E-409C-BE32-E72D297353CC}">
              <c16:uniqueId val="{00000003-FE50-482D-905D-7C3B099138E4}"/>
            </c:ext>
          </c:extLst>
        </c:ser>
        <c:ser>
          <c:idx val="9"/>
          <c:order val="4"/>
          <c:tx>
            <c:strRef>
              <c:f>Projections!$A$74</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Projections!$P$75:$BN$75</c15:sqref>
                  </c15:fullRef>
                </c:ext>
              </c:extLst>
              <c:f>(Projections!$P$75:$BE$75,Projections!$BG$75:$BJ$75)</c:f>
              <c:numCache>
                <c:formatCode>#,##0</c:formatCode>
                <c:ptCount val="46"/>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3361.9968000000003</c:v>
                </c:pt>
                <c:pt idx="19">
                  <c:v>3922.3296</c:v>
                </c:pt>
                <c:pt idx="20">
                  <c:v>4482.6624000000002</c:v>
                </c:pt>
                <c:pt idx="21">
                  <c:v>5042.9952000000003</c:v>
                </c:pt>
                <c:pt idx="22">
                  <c:v>5603.3280000000004</c:v>
                </c:pt>
                <c:pt idx="23">
                  <c:v>6723.9936000000007</c:v>
                </c:pt>
                <c:pt idx="24">
                  <c:v>7844.6592000000001</c:v>
                </c:pt>
                <c:pt idx="25">
                  <c:v>8965.3248000000003</c:v>
                </c:pt>
                <c:pt idx="26">
                  <c:v>10085.990400000001</c:v>
                </c:pt>
                <c:pt idx="27">
                  <c:v>11206.656000000001</c:v>
                </c:pt>
                <c:pt idx="28">
                  <c:v>13447.987200000001</c:v>
                </c:pt>
                <c:pt idx="29">
                  <c:v>15689.3184</c:v>
                </c:pt>
                <c:pt idx="30">
                  <c:v>17930.649600000001</c:v>
                </c:pt>
                <c:pt idx="31">
                  <c:v>20171.980800000001</c:v>
                </c:pt>
                <c:pt idx="32">
                  <c:v>22413.312000000002</c:v>
                </c:pt>
                <c:pt idx="33">
                  <c:v>26895.974400000003</c:v>
                </c:pt>
                <c:pt idx="34">
                  <c:v>31378.6368</c:v>
                </c:pt>
                <c:pt idx="35">
                  <c:v>35861.299200000001</c:v>
                </c:pt>
                <c:pt idx="36">
                  <c:v>40343.961600000002</c:v>
                </c:pt>
                <c:pt idx="37">
                  <c:v>44826.624000000003</c:v>
                </c:pt>
                <c:pt idx="38">
                  <c:v>53791.948800000006</c:v>
                </c:pt>
                <c:pt idx="39">
                  <c:v>62757.2736</c:v>
                </c:pt>
                <c:pt idx="40">
                  <c:v>71722.598400000003</c:v>
                </c:pt>
                <c:pt idx="41">
                  <c:v>80687.923200000005</c:v>
                </c:pt>
                <c:pt idx="42">
                  <c:v>107583.89760000001</c:v>
                </c:pt>
                <c:pt idx="43">
                  <c:v>125514.5472</c:v>
                </c:pt>
                <c:pt idx="44">
                  <c:v>143445.19680000001</c:v>
                </c:pt>
                <c:pt idx="45">
                  <c:v>161375.84640000001</c:v>
                </c:pt>
              </c:numCache>
            </c:numRef>
          </c:val>
          <c:smooth val="0"/>
          <c:extLst>
            <c:ext xmlns:c16="http://schemas.microsoft.com/office/drawing/2014/chart" uri="{C3380CC4-5D6E-409C-BE32-E72D297353CC}">
              <c16:uniqueId val="{00000004-FE50-482D-905D-7C3B099138E4}"/>
            </c:ext>
          </c:extLst>
        </c:ser>
        <c:ser>
          <c:idx val="11"/>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Projections!$P$77:$BN$77</c15:sqref>
                  </c15:fullRef>
                </c:ext>
              </c:extLst>
              <c:f>(Projections!$P$77:$BE$77,Projections!$BG$77:$BJ$77)</c:f>
              <c:numCache>
                <c:formatCode>#,##0</c:formatCode>
                <c:ptCount val="46"/>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2152.8576000000003</c:v>
                </c:pt>
                <c:pt idx="19">
                  <c:v>2511.6672000000003</c:v>
                </c:pt>
                <c:pt idx="20">
                  <c:v>2870.4767999999999</c:v>
                </c:pt>
                <c:pt idx="21">
                  <c:v>3229.2864</c:v>
                </c:pt>
                <c:pt idx="22">
                  <c:v>3588.096</c:v>
                </c:pt>
                <c:pt idx="23">
                  <c:v>4305.7152000000006</c:v>
                </c:pt>
                <c:pt idx="24">
                  <c:v>5023.3344000000006</c:v>
                </c:pt>
                <c:pt idx="25">
                  <c:v>5740.9535999999998</c:v>
                </c:pt>
                <c:pt idx="26">
                  <c:v>6458.5727999999999</c:v>
                </c:pt>
                <c:pt idx="27">
                  <c:v>7176.192</c:v>
                </c:pt>
                <c:pt idx="28">
                  <c:v>8611.4304000000011</c:v>
                </c:pt>
                <c:pt idx="29">
                  <c:v>10046.668800000001</c:v>
                </c:pt>
                <c:pt idx="30">
                  <c:v>11481.9072</c:v>
                </c:pt>
                <c:pt idx="31">
                  <c:v>12917.1456</c:v>
                </c:pt>
                <c:pt idx="32">
                  <c:v>14352.384</c:v>
                </c:pt>
                <c:pt idx="33">
                  <c:v>17222.860800000002</c:v>
                </c:pt>
                <c:pt idx="34">
                  <c:v>20093.337600000003</c:v>
                </c:pt>
                <c:pt idx="35">
                  <c:v>22963.814399999999</c:v>
                </c:pt>
                <c:pt idx="36">
                  <c:v>25834.2912</c:v>
                </c:pt>
                <c:pt idx="37">
                  <c:v>28704.768</c:v>
                </c:pt>
                <c:pt idx="38">
                  <c:v>34445.721600000004</c:v>
                </c:pt>
                <c:pt idx="39">
                  <c:v>40186.675200000005</c:v>
                </c:pt>
                <c:pt idx="40">
                  <c:v>45927.628799999999</c:v>
                </c:pt>
                <c:pt idx="41">
                  <c:v>51668.582399999999</c:v>
                </c:pt>
                <c:pt idx="42">
                  <c:v>68891.443200000009</c:v>
                </c:pt>
                <c:pt idx="43">
                  <c:v>80373.35040000001</c:v>
                </c:pt>
                <c:pt idx="44">
                  <c:v>91855.257599999997</c:v>
                </c:pt>
                <c:pt idx="45">
                  <c:v>103337.1648</c:v>
                </c:pt>
              </c:numCache>
            </c:numRef>
          </c:val>
          <c:smooth val="0"/>
          <c:extLst>
            <c:ext xmlns:c16="http://schemas.microsoft.com/office/drawing/2014/chart" uri="{C3380CC4-5D6E-409C-BE32-E72D297353CC}">
              <c16:uniqueId val="{00000005-FE50-482D-905D-7C3B099138E4}"/>
            </c:ext>
          </c:extLst>
        </c:ser>
        <c:ser>
          <c:idx val="13"/>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Projections!$P$79:$BN$79</c15:sqref>
                  </c15:fullRef>
                </c:ext>
              </c:extLst>
              <c:f>(Projections!$P$79:$BE$79,Projections!$BG$79:$BJ$79)</c:f>
              <c:numCache>
                <c:formatCode>#,##0</c:formatCode>
                <c:ptCount val="46"/>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2280.6528000000003</c:v>
                </c:pt>
                <c:pt idx="19">
                  <c:v>2660.7616000000003</c:v>
                </c:pt>
                <c:pt idx="20">
                  <c:v>3040.8704000000002</c:v>
                </c:pt>
                <c:pt idx="21">
                  <c:v>3420.9792000000002</c:v>
                </c:pt>
                <c:pt idx="22">
                  <c:v>3801.0880000000002</c:v>
                </c:pt>
                <c:pt idx="23">
                  <c:v>4561.3056000000006</c:v>
                </c:pt>
                <c:pt idx="24">
                  <c:v>5321.5232000000005</c:v>
                </c:pt>
                <c:pt idx="25">
                  <c:v>6081.7408000000005</c:v>
                </c:pt>
                <c:pt idx="26">
                  <c:v>6841.9584000000004</c:v>
                </c:pt>
                <c:pt idx="27">
                  <c:v>7602.1760000000004</c:v>
                </c:pt>
                <c:pt idx="28">
                  <c:v>9122.6112000000012</c:v>
                </c:pt>
                <c:pt idx="29">
                  <c:v>10643.046400000001</c:v>
                </c:pt>
                <c:pt idx="30">
                  <c:v>12163.481600000001</c:v>
                </c:pt>
                <c:pt idx="31">
                  <c:v>13683.916800000001</c:v>
                </c:pt>
                <c:pt idx="32">
                  <c:v>15204.352000000001</c:v>
                </c:pt>
                <c:pt idx="33">
                  <c:v>18245.222400000002</c:v>
                </c:pt>
                <c:pt idx="34">
                  <c:v>21286.092800000002</c:v>
                </c:pt>
                <c:pt idx="35">
                  <c:v>24326.963200000002</c:v>
                </c:pt>
                <c:pt idx="36">
                  <c:v>27367.833600000002</c:v>
                </c:pt>
                <c:pt idx="37">
                  <c:v>30408.704000000002</c:v>
                </c:pt>
                <c:pt idx="38">
                  <c:v>36490.444800000005</c:v>
                </c:pt>
                <c:pt idx="39">
                  <c:v>42572.185600000004</c:v>
                </c:pt>
                <c:pt idx="40">
                  <c:v>48653.926400000004</c:v>
                </c:pt>
                <c:pt idx="41">
                  <c:v>54735.667200000004</c:v>
                </c:pt>
                <c:pt idx="42">
                  <c:v>72980.88960000001</c:v>
                </c:pt>
                <c:pt idx="43">
                  <c:v>85144.371200000009</c:v>
                </c:pt>
                <c:pt idx="44">
                  <c:v>97307.852800000008</c:v>
                </c:pt>
                <c:pt idx="45">
                  <c:v>109471.33440000001</c:v>
                </c:pt>
              </c:numCache>
            </c:numRef>
          </c:val>
          <c:smooth val="0"/>
          <c:extLst>
            <c:ext xmlns:c16="http://schemas.microsoft.com/office/drawing/2014/chart" uri="{C3380CC4-5D6E-409C-BE32-E72D297353CC}">
              <c16:uniqueId val="{00000006-FE50-482D-905D-7C3B099138E4}"/>
            </c:ext>
          </c:extLst>
        </c:ser>
        <c:ser>
          <c:idx val="15"/>
          <c:order val="7"/>
          <c:tx>
            <c:strRef>
              <c:f>Projections!$A$80</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Projections!$P$81:$BN$81</c15:sqref>
                  </c15:fullRef>
                </c:ext>
              </c:extLst>
              <c:f>(Projections!$P$81:$BE$81,Projections!$BG$81:$BJ$81)</c:f>
              <c:numCache>
                <c:formatCode>#,##0</c:formatCode>
                <c:ptCount val="46"/>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373.55520000000001</c:v>
                </c:pt>
                <c:pt idx="19">
                  <c:v>435.81439999999998</c:v>
                </c:pt>
                <c:pt idx="20">
                  <c:v>498.0736</c:v>
                </c:pt>
                <c:pt idx="21">
                  <c:v>560.33279999999991</c:v>
                </c:pt>
                <c:pt idx="22">
                  <c:v>622.59199999999998</c:v>
                </c:pt>
                <c:pt idx="23">
                  <c:v>747.11040000000003</c:v>
                </c:pt>
                <c:pt idx="24">
                  <c:v>871.62879999999996</c:v>
                </c:pt>
                <c:pt idx="25">
                  <c:v>996.1472</c:v>
                </c:pt>
                <c:pt idx="26">
                  <c:v>1120.6655999999998</c:v>
                </c:pt>
                <c:pt idx="27">
                  <c:v>1245.184</c:v>
                </c:pt>
                <c:pt idx="28">
                  <c:v>1494.2208000000001</c:v>
                </c:pt>
                <c:pt idx="29">
                  <c:v>1743.2575999999999</c:v>
                </c:pt>
                <c:pt idx="30">
                  <c:v>1992.2944</c:v>
                </c:pt>
                <c:pt idx="31">
                  <c:v>2241.3311999999996</c:v>
                </c:pt>
                <c:pt idx="32">
                  <c:v>2490.3679999999999</c:v>
                </c:pt>
                <c:pt idx="33">
                  <c:v>2988.4416000000001</c:v>
                </c:pt>
                <c:pt idx="34">
                  <c:v>3486.5151999999998</c:v>
                </c:pt>
                <c:pt idx="35">
                  <c:v>3984.5888</c:v>
                </c:pt>
                <c:pt idx="36">
                  <c:v>4482.6623999999993</c:v>
                </c:pt>
                <c:pt idx="37">
                  <c:v>4980.7359999999999</c:v>
                </c:pt>
                <c:pt idx="38">
                  <c:v>5976.8832000000002</c:v>
                </c:pt>
                <c:pt idx="39">
                  <c:v>6973.0303999999996</c:v>
                </c:pt>
                <c:pt idx="40">
                  <c:v>7969.1776</c:v>
                </c:pt>
                <c:pt idx="41">
                  <c:v>8965.3247999999985</c:v>
                </c:pt>
                <c:pt idx="42">
                  <c:v>11953.7664</c:v>
                </c:pt>
                <c:pt idx="43">
                  <c:v>13946.060799999999</c:v>
                </c:pt>
                <c:pt idx="44">
                  <c:v>15938.3552</c:v>
                </c:pt>
                <c:pt idx="45">
                  <c:v>17930.649599999997</c:v>
                </c:pt>
              </c:numCache>
            </c:numRef>
          </c:val>
          <c:smooth val="0"/>
          <c:extLst>
            <c:ext xmlns:c16="http://schemas.microsoft.com/office/drawing/2014/chart" uri="{C3380CC4-5D6E-409C-BE32-E72D297353CC}">
              <c16:uniqueId val="{00000007-FE50-482D-905D-7C3B099138E4}"/>
            </c:ext>
          </c:extLst>
        </c:ser>
        <c:ser>
          <c:idx val="17"/>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Projections!$P$83:$BN$83</c15:sqref>
                  </c15:fullRef>
                </c:ext>
              </c:extLst>
              <c:f>(Projections!$P$83:$BE$83,Projections!$BG$83:$BJ$83)</c:f>
              <c:numCache>
                <c:formatCode>#,##0</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Projections!$P$95:$BN$95</c15:sqref>
                  </c15:fullRef>
                </c:ext>
              </c:extLst>
              <c:f>(Projections!$P$95:$BE$95,Projections!$BG$95:$BJ$95)</c:f>
              <c:numCache>
                <c:formatCode>#,##0</c:formatCode>
                <c:ptCount val="46"/>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1464729.5999999999</c:v>
                </c:pt>
                <c:pt idx="19">
                  <c:v>1708851.2</c:v>
                </c:pt>
                <c:pt idx="20">
                  <c:v>1952972.7999999998</c:v>
                </c:pt>
                <c:pt idx="21">
                  <c:v>2197094.3999999999</c:v>
                </c:pt>
                <c:pt idx="22">
                  <c:v>2441216</c:v>
                </c:pt>
                <c:pt idx="23">
                  <c:v>2929459.1999999997</c:v>
                </c:pt>
                <c:pt idx="24">
                  <c:v>3417702.3999999999</c:v>
                </c:pt>
                <c:pt idx="25">
                  <c:v>3905945.5999999996</c:v>
                </c:pt>
                <c:pt idx="26">
                  <c:v>4394188.7999999998</c:v>
                </c:pt>
                <c:pt idx="27">
                  <c:v>4882432</c:v>
                </c:pt>
                <c:pt idx="28">
                  <c:v>5858918.3999999994</c:v>
                </c:pt>
                <c:pt idx="29">
                  <c:v>6835404.7999999998</c:v>
                </c:pt>
                <c:pt idx="30">
                  <c:v>7811891.1999999993</c:v>
                </c:pt>
                <c:pt idx="31">
                  <c:v>8788377.5999999996</c:v>
                </c:pt>
                <c:pt idx="32">
                  <c:v>9764864</c:v>
                </c:pt>
                <c:pt idx="33">
                  <c:v>11717836.799999999</c:v>
                </c:pt>
                <c:pt idx="34">
                  <c:v>13670809.6</c:v>
                </c:pt>
                <c:pt idx="35">
                  <c:v>15623782.399999999</c:v>
                </c:pt>
                <c:pt idx="36">
                  <c:v>17576755.199999999</c:v>
                </c:pt>
                <c:pt idx="37">
                  <c:v>19529728</c:v>
                </c:pt>
                <c:pt idx="38">
                  <c:v>23435673.599999998</c:v>
                </c:pt>
                <c:pt idx="39">
                  <c:v>27341619.199999999</c:v>
                </c:pt>
                <c:pt idx="40">
                  <c:v>31247564.799999997</c:v>
                </c:pt>
                <c:pt idx="41">
                  <c:v>35153510.399999999</c:v>
                </c:pt>
                <c:pt idx="42">
                  <c:v>46871347.199999996</c:v>
                </c:pt>
                <c:pt idx="43">
                  <c:v>54683238.399999999</c:v>
                </c:pt>
                <c:pt idx="44">
                  <c:v>62495129.599999994</c:v>
                </c:pt>
                <c:pt idx="45">
                  <c:v>70307020.799999997</c:v>
                </c:pt>
              </c:numCache>
            </c:numRef>
          </c:val>
          <c:smooth val="0"/>
          <c:extLst>
            <c:ext xmlns:c16="http://schemas.microsoft.com/office/drawing/2014/chart" uri="{C3380CC4-5D6E-409C-BE32-E72D297353CC}">
              <c16:uniqueId val="{00000000-C5BA-4495-93D4-AC4CA8674604}"/>
            </c:ext>
          </c:extLst>
        </c:ser>
        <c:ser>
          <c:idx val="4"/>
          <c:order val="1"/>
          <c:tx>
            <c:strRef>
              <c:f>Projections!$A$93</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Projections!$P$93:$BN$93</c15:sqref>
                  </c15:fullRef>
                </c:ext>
              </c:extLst>
              <c:f>(Projections!$P$93:$BE$93,Projections!$BG$93:$BJ$93)</c:f>
              <c:numCache>
                <c:formatCode>#,##0</c:formatCode>
                <c:ptCount val="46"/>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983040</c:v>
                </c:pt>
                <c:pt idx="19">
                  <c:v>1146880</c:v>
                </c:pt>
                <c:pt idx="20">
                  <c:v>1310720</c:v>
                </c:pt>
                <c:pt idx="21">
                  <c:v>1474560</c:v>
                </c:pt>
                <c:pt idx="22">
                  <c:v>1638400</c:v>
                </c:pt>
                <c:pt idx="23">
                  <c:v>1966080</c:v>
                </c:pt>
                <c:pt idx="24">
                  <c:v>2293760</c:v>
                </c:pt>
                <c:pt idx="25">
                  <c:v>2621440</c:v>
                </c:pt>
                <c:pt idx="26">
                  <c:v>2949120</c:v>
                </c:pt>
                <c:pt idx="27">
                  <c:v>3276800</c:v>
                </c:pt>
                <c:pt idx="28">
                  <c:v>3932160</c:v>
                </c:pt>
                <c:pt idx="29">
                  <c:v>4587520</c:v>
                </c:pt>
                <c:pt idx="30">
                  <c:v>5242880</c:v>
                </c:pt>
                <c:pt idx="31">
                  <c:v>5898240</c:v>
                </c:pt>
                <c:pt idx="32">
                  <c:v>6553600</c:v>
                </c:pt>
                <c:pt idx="33">
                  <c:v>7864320</c:v>
                </c:pt>
                <c:pt idx="34">
                  <c:v>9175040</c:v>
                </c:pt>
                <c:pt idx="35">
                  <c:v>10485760</c:v>
                </c:pt>
                <c:pt idx="36">
                  <c:v>11796480</c:v>
                </c:pt>
                <c:pt idx="37">
                  <c:v>13107200</c:v>
                </c:pt>
                <c:pt idx="38">
                  <c:v>15728640</c:v>
                </c:pt>
                <c:pt idx="39">
                  <c:v>18350080</c:v>
                </c:pt>
                <c:pt idx="40">
                  <c:v>20971520</c:v>
                </c:pt>
                <c:pt idx="41">
                  <c:v>23592960</c:v>
                </c:pt>
                <c:pt idx="42">
                  <c:v>31457280</c:v>
                </c:pt>
                <c:pt idx="43">
                  <c:v>36700160</c:v>
                </c:pt>
                <c:pt idx="44">
                  <c:v>41943040</c:v>
                </c:pt>
                <c:pt idx="45">
                  <c:v>47185920</c:v>
                </c:pt>
              </c:numCache>
            </c:numRef>
          </c:val>
          <c:smooth val="0"/>
          <c:extLst>
            <c:ext xmlns:c16="http://schemas.microsoft.com/office/drawing/2014/chart" uri="{C3380CC4-5D6E-409C-BE32-E72D297353CC}">
              <c16:uniqueId val="{00000001-C5BA-4495-93D4-AC4CA8674604}"/>
            </c:ext>
          </c:extLst>
        </c:ser>
        <c:ser>
          <c:idx val="10"/>
          <c:order val="2"/>
          <c:tx>
            <c:strRef>
              <c:f>Projections!$A$99</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Projections!$P$99:$BN$99</c15:sqref>
                  </c15:fullRef>
                </c:ext>
              </c:extLst>
              <c:f>(Projections!$P$99:$BE$99,Projections!$BG$99:$BJ$99)</c:f>
              <c:numCache>
                <c:formatCode>#,##0</c:formatCode>
                <c:ptCount val="46"/>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688128.00000000012</c:v>
                </c:pt>
                <c:pt idx="19">
                  <c:v>802816.00000000012</c:v>
                </c:pt>
                <c:pt idx="20">
                  <c:v>917504.00000000012</c:v>
                </c:pt>
                <c:pt idx="21">
                  <c:v>1032192.0000000001</c:v>
                </c:pt>
                <c:pt idx="22">
                  <c:v>1146880</c:v>
                </c:pt>
                <c:pt idx="23">
                  <c:v>1376256.0000000002</c:v>
                </c:pt>
                <c:pt idx="24">
                  <c:v>1605632.0000000002</c:v>
                </c:pt>
                <c:pt idx="25">
                  <c:v>1835008.0000000002</c:v>
                </c:pt>
                <c:pt idx="26">
                  <c:v>2064384.0000000002</c:v>
                </c:pt>
                <c:pt idx="27">
                  <c:v>2293760</c:v>
                </c:pt>
                <c:pt idx="28">
                  <c:v>2752512.0000000005</c:v>
                </c:pt>
                <c:pt idx="29">
                  <c:v>3211264.0000000005</c:v>
                </c:pt>
                <c:pt idx="30">
                  <c:v>3670016.0000000005</c:v>
                </c:pt>
                <c:pt idx="31">
                  <c:v>4128768.0000000005</c:v>
                </c:pt>
                <c:pt idx="32">
                  <c:v>4587520</c:v>
                </c:pt>
                <c:pt idx="33">
                  <c:v>5505024.0000000009</c:v>
                </c:pt>
                <c:pt idx="34">
                  <c:v>6422528.0000000009</c:v>
                </c:pt>
                <c:pt idx="35">
                  <c:v>7340032.0000000009</c:v>
                </c:pt>
                <c:pt idx="36">
                  <c:v>8257536.0000000009</c:v>
                </c:pt>
                <c:pt idx="37">
                  <c:v>9175040</c:v>
                </c:pt>
                <c:pt idx="38">
                  <c:v>11010048.000000002</c:v>
                </c:pt>
                <c:pt idx="39">
                  <c:v>12845056.000000002</c:v>
                </c:pt>
                <c:pt idx="40">
                  <c:v>14680064.000000002</c:v>
                </c:pt>
                <c:pt idx="41">
                  <c:v>16515072.000000002</c:v>
                </c:pt>
                <c:pt idx="42">
                  <c:v>22020096.000000004</c:v>
                </c:pt>
                <c:pt idx="43">
                  <c:v>25690112.000000004</c:v>
                </c:pt>
                <c:pt idx="44">
                  <c:v>29360128.000000004</c:v>
                </c:pt>
                <c:pt idx="45">
                  <c:v>33030144.000000004</c:v>
                </c:pt>
              </c:numCache>
            </c:numRef>
          </c:val>
          <c:smooth val="0"/>
          <c:extLst>
            <c:ext xmlns:c16="http://schemas.microsoft.com/office/drawing/2014/chart" uri="{C3380CC4-5D6E-409C-BE32-E72D297353CC}">
              <c16:uniqueId val="{00000002-C5BA-4495-93D4-AC4CA8674604}"/>
            </c:ext>
          </c:extLst>
        </c:ser>
        <c:ser>
          <c:idx val="0"/>
          <c:order val="3"/>
          <c:tx>
            <c:strRef>
              <c:f>Projections!$A$89</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Projections!$P$89:$BN$89</c15:sqref>
                  </c15:fullRef>
                </c:ext>
              </c:extLst>
              <c:f>(Projections!$P$89:$BE$89,Projections!$BG$89:$BJ$89)</c:f>
              <c:numCache>
                <c:formatCode>#,##0</c:formatCode>
                <c:ptCount val="46"/>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191692.79999999999</c:v>
                </c:pt>
                <c:pt idx="19">
                  <c:v>223641.60000000001</c:v>
                </c:pt>
                <c:pt idx="20">
                  <c:v>255590.39999999999</c:v>
                </c:pt>
                <c:pt idx="21">
                  <c:v>287539.20000000001</c:v>
                </c:pt>
                <c:pt idx="22">
                  <c:v>319488</c:v>
                </c:pt>
                <c:pt idx="23">
                  <c:v>383385.59999999998</c:v>
                </c:pt>
                <c:pt idx="24">
                  <c:v>447283.20000000001</c:v>
                </c:pt>
                <c:pt idx="25">
                  <c:v>511180.79999999999</c:v>
                </c:pt>
                <c:pt idx="26">
                  <c:v>575078.40000000002</c:v>
                </c:pt>
                <c:pt idx="27">
                  <c:v>638976</c:v>
                </c:pt>
                <c:pt idx="28">
                  <c:v>766771.19999999995</c:v>
                </c:pt>
                <c:pt idx="29">
                  <c:v>894566.40000000002</c:v>
                </c:pt>
                <c:pt idx="30">
                  <c:v>1022361.6</c:v>
                </c:pt>
                <c:pt idx="31">
                  <c:v>1150156.8</c:v>
                </c:pt>
                <c:pt idx="32">
                  <c:v>1277952</c:v>
                </c:pt>
                <c:pt idx="33">
                  <c:v>1533542.3999999999</c:v>
                </c:pt>
                <c:pt idx="34">
                  <c:v>1789132.8</c:v>
                </c:pt>
                <c:pt idx="35">
                  <c:v>2044723.2</c:v>
                </c:pt>
                <c:pt idx="36">
                  <c:v>2300313.6000000001</c:v>
                </c:pt>
                <c:pt idx="37">
                  <c:v>2555904</c:v>
                </c:pt>
                <c:pt idx="38">
                  <c:v>3067084.7999999998</c:v>
                </c:pt>
                <c:pt idx="39">
                  <c:v>3578265.6000000001</c:v>
                </c:pt>
                <c:pt idx="40">
                  <c:v>4089446.3999999999</c:v>
                </c:pt>
                <c:pt idx="41">
                  <c:v>4600627.2000000002</c:v>
                </c:pt>
                <c:pt idx="42">
                  <c:v>6134169.5999999996</c:v>
                </c:pt>
                <c:pt idx="43">
                  <c:v>7156531.2000000002</c:v>
                </c:pt>
                <c:pt idx="44">
                  <c:v>8178892.7999999998</c:v>
                </c:pt>
                <c:pt idx="45">
                  <c:v>9201254.4000000004</c:v>
                </c:pt>
              </c:numCache>
            </c:numRef>
          </c:val>
          <c:smooth val="0"/>
          <c:extLst>
            <c:ext xmlns:c16="http://schemas.microsoft.com/office/drawing/2014/chart" uri="{C3380CC4-5D6E-409C-BE32-E72D297353CC}">
              <c16:uniqueId val="{00000003-C5BA-4495-93D4-AC4CA8674604}"/>
            </c:ext>
          </c:extLst>
        </c:ser>
        <c:ser>
          <c:idx val="2"/>
          <c:order val="4"/>
          <c:tx>
            <c:strRef>
              <c:f>Projections!$A$91</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Projections!$P$91:$BN$91</c15:sqref>
                  </c15:fullRef>
                </c:ext>
              </c:extLst>
              <c:f>(Projections!$P$91:$BE$91,Projections!$BG$91:$BJ$91)</c:f>
              <c:numCache>
                <c:formatCode>#,##0</c:formatCode>
                <c:ptCount val="46"/>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437452.79999999999</c:v>
                </c:pt>
                <c:pt idx="19">
                  <c:v>510361.59999999998</c:v>
                </c:pt>
                <c:pt idx="20">
                  <c:v>583270.40000000002</c:v>
                </c:pt>
                <c:pt idx="21">
                  <c:v>656179.19999999995</c:v>
                </c:pt>
                <c:pt idx="22">
                  <c:v>729088</c:v>
                </c:pt>
                <c:pt idx="23">
                  <c:v>874905.59999999998</c:v>
                </c:pt>
                <c:pt idx="24">
                  <c:v>1020723.2</c:v>
                </c:pt>
                <c:pt idx="25">
                  <c:v>1166540.8</c:v>
                </c:pt>
                <c:pt idx="26">
                  <c:v>1312358.3999999999</c:v>
                </c:pt>
                <c:pt idx="27">
                  <c:v>1458176</c:v>
                </c:pt>
                <c:pt idx="28">
                  <c:v>1749811.2</c:v>
                </c:pt>
                <c:pt idx="29">
                  <c:v>2041446.3999999999</c:v>
                </c:pt>
                <c:pt idx="30">
                  <c:v>2333081.6000000001</c:v>
                </c:pt>
                <c:pt idx="31">
                  <c:v>2624716.7999999998</c:v>
                </c:pt>
                <c:pt idx="32">
                  <c:v>2916352</c:v>
                </c:pt>
                <c:pt idx="33">
                  <c:v>3499622.3999999999</c:v>
                </c:pt>
                <c:pt idx="34">
                  <c:v>4082892.7999999998</c:v>
                </c:pt>
                <c:pt idx="35">
                  <c:v>4666163.2000000002</c:v>
                </c:pt>
                <c:pt idx="36">
                  <c:v>5249433.5999999996</c:v>
                </c:pt>
                <c:pt idx="37">
                  <c:v>5832704</c:v>
                </c:pt>
                <c:pt idx="38">
                  <c:v>6999244.7999999998</c:v>
                </c:pt>
                <c:pt idx="39">
                  <c:v>8165785.5999999996</c:v>
                </c:pt>
                <c:pt idx="40">
                  <c:v>9332326.4000000004</c:v>
                </c:pt>
                <c:pt idx="41">
                  <c:v>10498867.199999999</c:v>
                </c:pt>
                <c:pt idx="42">
                  <c:v>13998489.6</c:v>
                </c:pt>
                <c:pt idx="43">
                  <c:v>16331571.199999999</c:v>
                </c:pt>
                <c:pt idx="44">
                  <c:v>18664652.800000001</c:v>
                </c:pt>
                <c:pt idx="45">
                  <c:v>20997734.399999999</c:v>
                </c:pt>
              </c:numCache>
            </c:numRef>
          </c:val>
          <c:smooth val="0"/>
          <c:extLst>
            <c:ext xmlns:c16="http://schemas.microsoft.com/office/drawing/2014/chart" uri="{C3380CC4-5D6E-409C-BE32-E72D297353CC}">
              <c16:uniqueId val="{00000004-C5BA-4495-93D4-AC4CA8674604}"/>
            </c:ext>
          </c:extLst>
        </c:ser>
        <c:ser>
          <c:idx val="8"/>
          <c:order val="5"/>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Projections!$P$97:$BN$97</c15:sqref>
                  </c15:fullRef>
                </c:ext>
              </c:extLst>
              <c:f>(Projections!$P$97:$BE$97,Projections!$BG$97:$BJ$97)</c:f>
              <c:numCache>
                <c:formatCode>#,##0</c:formatCode>
                <c:ptCount val="46"/>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4669.4399999999996</c:v>
                </c:pt>
                <c:pt idx="19">
                  <c:v>5447.68</c:v>
                </c:pt>
                <c:pt idx="20">
                  <c:v>6225.92</c:v>
                </c:pt>
                <c:pt idx="21">
                  <c:v>7004.16</c:v>
                </c:pt>
                <c:pt idx="22">
                  <c:v>7782.4</c:v>
                </c:pt>
                <c:pt idx="23">
                  <c:v>9338.8799999999992</c:v>
                </c:pt>
                <c:pt idx="24">
                  <c:v>10895.36</c:v>
                </c:pt>
                <c:pt idx="25">
                  <c:v>12451.84</c:v>
                </c:pt>
                <c:pt idx="26">
                  <c:v>14008.32</c:v>
                </c:pt>
                <c:pt idx="27">
                  <c:v>15564.8</c:v>
                </c:pt>
                <c:pt idx="28">
                  <c:v>18677.759999999998</c:v>
                </c:pt>
                <c:pt idx="29">
                  <c:v>21790.720000000001</c:v>
                </c:pt>
                <c:pt idx="30">
                  <c:v>24903.68</c:v>
                </c:pt>
                <c:pt idx="31">
                  <c:v>28016.639999999999</c:v>
                </c:pt>
                <c:pt idx="32">
                  <c:v>31129.599999999999</c:v>
                </c:pt>
                <c:pt idx="33">
                  <c:v>37355.519999999997</c:v>
                </c:pt>
                <c:pt idx="34">
                  <c:v>43581.440000000002</c:v>
                </c:pt>
                <c:pt idx="35">
                  <c:v>49807.360000000001</c:v>
                </c:pt>
                <c:pt idx="36">
                  <c:v>56033.279999999999</c:v>
                </c:pt>
                <c:pt idx="37">
                  <c:v>62259.199999999997</c:v>
                </c:pt>
                <c:pt idx="38">
                  <c:v>74711.039999999994</c:v>
                </c:pt>
                <c:pt idx="39">
                  <c:v>87162.880000000005</c:v>
                </c:pt>
                <c:pt idx="40">
                  <c:v>99614.720000000001</c:v>
                </c:pt>
                <c:pt idx="41">
                  <c:v>112066.56</c:v>
                </c:pt>
                <c:pt idx="42">
                  <c:v>149422.07999999999</c:v>
                </c:pt>
                <c:pt idx="43">
                  <c:v>174325.76000000001</c:v>
                </c:pt>
                <c:pt idx="44">
                  <c:v>199229.44</c:v>
                </c:pt>
                <c:pt idx="45">
                  <c:v>224133.12</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Projections!$P$96:$BN$96</c15:sqref>
                  </c15:fullRef>
                </c:ext>
              </c:extLst>
              <c:f>(Projections!$P$96:$BE$96,Projections!$BG$96:$BJ$96)</c:f>
              <c:numCache>
                <c:formatCode>#,##0</c:formatCode>
                <c:ptCount val="46"/>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87883.775999999983</c:v>
                </c:pt>
                <c:pt idx="19">
                  <c:v>102531.072</c:v>
                </c:pt>
                <c:pt idx="20">
                  <c:v>117178.36799999999</c:v>
                </c:pt>
                <c:pt idx="21">
                  <c:v>131825.66399999999</c:v>
                </c:pt>
                <c:pt idx="22">
                  <c:v>146472.95999999999</c:v>
                </c:pt>
                <c:pt idx="23">
                  <c:v>175767.55199999997</c:v>
                </c:pt>
                <c:pt idx="24">
                  <c:v>205062.144</c:v>
                </c:pt>
                <c:pt idx="25">
                  <c:v>234356.73599999998</c:v>
                </c:pt>
                <c:pt idx="26">
                  <c:v>263651.32799999998</c:v>
                </c:pt>
                <c:pt idx="27">
                  <c:v>292945.91999999998</c:v>
                </c:pt>
                <c:pt idx="28">
                  <c:v>351535.10399999993</c:v>
                </c:pt>
                <c:pt idx="29">
                  <c:v>410124.288</c:v>
                </c:pt>
                <c:pt idx="30">
                  <c:v>468713.47199999995</c:v>
                </c:pt>
                <c:pt idx="31">
                  <c:v>527302.65599999996</c:v>
                </c:pt>
                <c:pt idx="32">
                  <c:v>585891.83999999997</c:v>
                </c:pt>
                <c:pt idx="33">
                  <c:v>703070.20799999987</c:v>
                </c:pt>
                <c:pt idx="34">
                  <c:v>820248.576</c:v>
                </c:pt>
                <c:pt idx="35">
                  <c:v>937426.9439999999</c:v>
                </c:pt>
                <c:pt idx="36">
                  <c:v>1054605.3119999999</c:v>
                </c:pt>
                <c:pt idx="37">
                  <c:v>1171783.6799999999</c:v>
                </c:pt>
                <c:pt idx="38">
                  <c:v>1406140.4159999997</c:v>
                </c:pt>
                <c:pt idx="39">
                  <c:v>1640497.152</c:v>
                </c:pt>
                <c:pt idx="40">
                  <c:v>1874853.8879999998</c:v>
                </c:pt>
                <c:pt idx="41">
                  <c:v>2109210.6239999998</c:v>
                </c:pt>
                <c:pt idx="42">
                  <c:v>2812280.8319999995</c:v>
                </c:pt>
                <c:pt idx="43">
                  <c:v>3280994.304</c:v>
                </c:pt>
                <c:pt idx="44">
                  <c:v>3749707.7759999996</c:v>
                </c:pt>
                <c:pt idx="45">
                  <c:v>4218421.2479999997</c:v>
                </c:pt>
              </c:numCache>
            </c:numRef>
          </c:val>
          <c:smooth val="0"/>
          <c:extLst>
            <c:ext xmlns:c16="http://schemas.microsoft.com/office/drawing/2014/chart" uri="{C3380CC4-5D6E-409C-BE32-E72D297353CC}">
              <c16:uniqueId val="{00000000-5E66-4AF0-A3CA-7CF12153AA8E}"/>
            </c:ext>
          </c:extLst>
        </c:ser>
        <c:ser>
          <c:idx val="5"/>
          <c:order val="1"/>
          <c:tx>
            <c:strRef>
              <c:f>Projections!$A$93</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Projections!$P$94:$BN$94</c15:sqref>
                  </c15:fullRef>
                </c:ext>
              </c:extLst>
              <c:f>(Projections!$P$94:$BE$94,Projections!$BG$94:$BJ$94)</c:f>
              <c:numCache>
                <c:formatCode>#,##0</c:formatCode>
                <c:ptCount val="46"/>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61931.520000000004</c:v>
                </c:pt>
                <c:pt idx="19">
                  <c:v>72253.440000000002</c:v>
                </c:pt>
                <c:pt idx="20">
                  <c:v>82575.360000000001</c:v>
                </c:pt>
                <c:pt idx="21">
                  <c:v>92897.279999999999</c:v>
                </c:pt>
                <c:pt idx="22">
                  <c:v>103219.2</c:v>
                </c:pt>
                <c:pt idx="23">
                  <c:v>123863.04000000001</c:v>
                </c:pt>
                <c:pt idx="24">
                  <c:v>144506.88</c:v>
                </c:pt>
                <c:pt idx="25">
                  <c:v>165150.72</c:v>
                </c:pt>
                <c:pt idx="26">
                  <c:v>185794.56</c:v>
                </c:pt>
                <c:pt idx="27">
                  <c:v>206438.39999999999</c:v>
                </c:pt>
                <c:pt idx="28">
                  <c:v>247726.08000000002</c:v>
                </c:pt>
                <c:pt idx="29">
                  <c:v>289013.76000000001</c:v>
                </c:pt>
                <c:pt idx="30">
                  <c:v>330301.44</c:v>
                </c:pt>
                <c:pt idx="31">
                  <c:v>371589.12</c:v>
                </c:pt>
                <c:pt idx="32">
                  <c:v>412876.79999999999</c:v>
                </c:pt>
                <c:pt idx="33">
                  <c:v>495452.16000000003</c:v>
                </c:pt>
                <c:pt idx="34">
                  <c:v>578027.52000000002</c:v>
                </c:pt>
                <c:pt idx="35">
                  <c:v>660602.88</c:v>
                </c:pt>
                <c:pt idx="36">
                  <c:v>743178.23999999999</c:v>
                </c:pt>
                <c:pt idx="37">
                  <c:v>825753.59999999998</c:v>
                </c:pt>
                <c:pt idx="38">
                  <c:v>990904.32000000007</c:v>
                </c:pt>
                <c:pt idx="39">
                  <c:v>1156055.04</c:v>
                </c:pt>
                <c:pt idx="40">
                  <c:v>1321205.76</c:v>
                </c:pt>
                <c:pt idx="41">
                  <c:v>1486356.48</c:v>
                </c:pt>
                <c:pt idx="42">
                  <c:v>1981808.6400000001</c:v>
                </c:pt>
                <c:pt idx="43">
                  <c:v>2312110.0800000001</c:v>
                </c:pt>
                <c:pt idx="44">
                  <c:v>2642411.52</c:v>
                </c:pt>
                <c:pt idx="45">
                  <c:v>2972712.96</c:v>
                </c:pt>
              </c:numCache>
            </c:numRef>
          </c:val>
          <c:smooth val="0"/>
          <c:extLst>
            <c:ext xmlns:c16="http://schemas.microsoft.com/office/drawing/2014/chart" uri="{C3380CC4-5D6E-409C-BE32-E72D297353CC}">
              <c16:uniqueId val="{00000001-5E66-4AF0-A3CA-7CF12153AA8E}"/>
            </c:ext>
          </c:extLst>
        </c:ser>
        <c:ser>
          <c:idx val="1"/>
          <c:order val="2"/>
          <c:tx>
            <c:strRef>
              <c:f>Projections!$A$89</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Projections!$P$90:$BN$90</c15:sqref>
                  </c15:fullRef>
                </c:ext>
              </c:extLst>
              <c:f>(Projections!$P$90:$BE$90,Projections!$BG$90:$BJ$90)</c:f>
              <c:numCache>
                <c:formatCode>#,##0</c:formatCode>
                <c:ptCount val="46"/>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20127.743999999999</c:v>
                </c:pt>
                <c:pt idx="19">
                  <c:v>23482.367999999999</c:v>
                </c:pt>
                <c:pt idx="20">
                  <c:v>26836.991999999998</c:v>
                </c:pt>
                <c:pt idx="21">
                  <c:v>30191.616000000002</c:v>
                </c:pt>
                <c:pt idx="22">
                  <c:v>33546.239999999998</c:v>
                </c:pt>
                <c:pt idx="23">
                  <c:v>40255.487999999998</c:v>
                </c:pt>
                <c:pt idx="24">
                  <c:v>46964.735999999997</c:v>
                </c:pt>
                <c:pt idx="25">
                  <c:v>53673.983999999997</c:v>
                </c:pt>
                <c:pt idx="26">
                  <c:v>60383.232000000004</c:v>
                </c:pt>
                <c:pt idx="27">
                  <c:v>67092.479999999996</c:v>
                </c:pt>
                <c:pt idx="28">
                  <c:v>80510.975999999995</c:v>
                </c:pt>
                <c:pt idx="29">
                  <c:v>93929.471999999994</c:v>
                </c:pt>
                <c:pt idx="30">
                  <c:v>107347.96799999999</c:v>
                </c:pt>
                <c:pt idx="31">
                  <c:v>120766.46400000001</c:v>
                </c:pt>
                <c:pt idx="32">
                  <c:v>134184.95999999999</c:v>
                </c:pt>
                <c:pt idx="33">
                  <c:v>161021.95199999999</c:v>
                </c:pt>
                <c:pt idx="34">
                  <c:v>187858.94399999999</c:v>
                </c:pt>
                <c:pt idx="35">
                  <c:v>214695.93599999999</c:v>
                </c:pt>
                <c:pt idx="36">
                  <c:v>241532.92800000001</c:v>
                </c:pt>
                <c:pt idx="37">
                  <c:v>268369.91999999998</c:v>
                </c:pt>
                <c:pt idx="38">
                  <c:v>322043.90399999998</c:v>
                </c:pt>
                <c:pt idx="39">
                  <c:v>375717.88799999998</c:v>
                </c:pt>
                <c:pt idx="40">
                  <c:v>429391.87199999997</c:v>
                </c:pt>
                <c:pt idx="41">
                  <c:v>483065.85600000003</c:v>
                </c:pt>
                <c:pt idx="42">
                  <c:v>644087.80799999996</c:v>
                </c:pt>
                <c:pt idx="43">
                  <c:v>751435.77599999995</c:v>
                </c:pt>
                <c:pt idx="44">
                  <c:v>858783.74399999995</c:v>
                </c:pt>
                <c:pt idx="45">
                  <c:v>966131.71200000006</c:v>
                </c:pt>
              </c:numCache>
            </c:numRef>
          </c:val>
          <c:smooth val="0"/>
          <c:extLst>
            <c:ext xmlns:c16="http://schemas.microsoft.com/office/drawing/2014/chart" uri="{C3380CC4-5D6E-409C-BE32-E72D297353CC}">
              <c16:uniqueId val="{00000002-5E66-4AF0-A3CA-7CF12153AA8E}"/>
            </c:ext>
          </c:extLst>
        </c:ser>
        <c:ser>
          <c:idx val="3"/>
          <c:order val="3"/>
          <c:tx>
            <c:strRef>
              <c:f>Projections!$A$91</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Projections!$P$92:$BN$92</c15:sqref>
                  </c15:fullRef>
                </c:ext>
              </c:extLst>
              <c:f>(Projections!$P$92:$BE$92,Projections!$BG$92:$BJ$92)</c:f>
              <c:numCache>
                <c:formatCode>#,##0</c:formatCode>
                <c:ptCount val="46"/>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31934.054399999997</c:v>
                </c:pt>
                <c:pt idx="19">
                  <c:v>37256.396799999995</c:v>
                </c:pt>
                <c:pt idx="20">
                  <c:v>42578.739199999996</c:v>
                </c:pt>
                <c:pt idx="21">
                  <c:v>47901.08159999999</c:v>
                </c:pt>
                <c:pt idx="22">
                  <c:v>53223.423999999999</c:v>
                </c:pt>
                <c:pt idx="23">
                  <c:v>63868.108799999995</c:v>
                </c:pt>
                <c:pt idx="24">
                  <c:v>74512.79359999999</c:v>
                </c:pt>
                <c:pt idx="25">
                  <c:v>85157.478399999993</c:v>
                </c:pt>
                <c:pt idx="26">
                  <c:v>95802.163199999981</c:v>
                </c:pt>
                <c:pt idx="27">
                  <c:v>106446.848</c:v>
                </c:pt>
                <c:pt idx="28">
                  <c:v>127736.21759999999</c:v>
                </c:pt>
                <c:pt idx="29">
                  <c:v>149025.58719999998</c:v>
                </c:pt>
                <c:pt idx="30">
                  <c:v>170314.95679999999</c:v>
                </c:pt>
                <c:pt idx="31">
                  <c:v>191604.32639999996</c:v>
                </c:pt>
                <c:pt idx="32">
                  <c:v>212893.696</c:v>
                </c:pt>
                <c:pt idx="33">
                  <c:v>255472.43519999998</c:v>
                </c:pt>
                <c:pt idx="34">
                  <c:v>298051.17439999996</c:v>
                </c:pt>
                <c:pt idx="35">
                  <c:v>340629.91359999997</c:v>
                </c:pt>
                <c:pt idx="36">
                  <c:v>383208.65279999992</c:v>
                </c:pt>
                <c:pt idx="37">
                  <c:v>425787.39199999999</c:v>
                </c:pt>
                <c:pt idx="38">
                  <c:v>510944.87039999996</c:v>
                </c:pt>
                <c:pt idx="39">
                  <c:v>596102.34879999992</c:v>
                </c:pt>
                <c:pt idx="40">
                  <c:v>681259.82719999994</c:v>
                </c:pt>
                <c:pt idx="41">
                  <c:v>766417.30559999985</c:v>
                </c:pt>
                <c:pt idx="42">
                  <c:v>1021889.7407999999</c:v>
                </c:pt>
                <c:pt idx="43">
                  <c:v>1192204.6975999998</c:v>
                </c:pt>
                <c:pt idx="44">
                  <c:v>1362519.6543999999</c:v>
                </c:pt>
                <c:pt idx="45">
                  <c:v>1532834.6111999997</c:v>
                </c:pt>
              </c:numCache>
            </c:numRef>
          </c:val>
          <c:smooth val="0"/>
          <c:extLst>
            <c:ext xmlns:c16="http://schemas.microsoft.com/office/drawing/2014/chart" uri="{C3380CC4-5D6E-409C-BE32-E72D297353CC}">
              <c16:uniqueId val="{00000003-5E66-4AF0-A3CA-7CF12153AA8E}"/>
            </c:ext>
          </c:extLst>
        </c:ser>
        <c:ser>
          <c:idx val="9"/>
          <c:order val="4"/>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Projections!$P$98:$BN$98</c15:sqref>
                  </c15:fullRef>
                </c:ext>
              </c:extLst>
              <c:f>(Projections!$P$98:$BE$98,Projections!$BG$98:$BJ$98)</c:f>
              <c:numCache>
                <c:formatCode>#,##0</c:formatCode>
                <c:ptCount val="46"/>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261.48863999999998</c:v>
                </c:pt>
                <c:pt idx="19">
                  <c:v>305.07008000000002</c:v>
                </c:pt>
                <c:pt idx="20">
                  <c:v>348.65152</c:v>
                </c:pt>
                <c:pt idx="21">
                  <c:v>392.23295999999999</c:v>
                </c:pt>
                <c:pt idx="22">
                  <c:v>435.81439999999998</c:v>
                </c:pt>
                <c:pt idx="23">
                  <c:v>522.97727999999995</c:v>
                </c:pt>
                <c:pt idx="24">
                  <c:v>610.14016000000004</c:v>
                </c:pt>
                <c:pt idx="25">
                  <c:v>697.30304000000001</c:v>
                </c:pt>
                <c:pt idx="26">
                  <c:v>784.46591999999998</c:v>
                </c:pt>
                <c:pt idx="27">
                  <c:v>871.62879999999996</c:v>
                </c:pt>
                <c:pt idx="28">
                  <c:v>1045.9545599999999</c:v>
                </c:pt>
                <c:pt idx="29">
                  <c:v>1220.2803200000001</c:v>
                </c:pt>
                <c:pt idx="30">
                  <c:v>1394.60608</c:v>
                </c:pt>
                <c:pt idx="31">
                  <c:v>1568.93184</c:v>
                </c:pt>
                <c:pt idx="32">
                  <c:v>1743.2575999999999</c:v>
                </c:pt>
                <c:pt idx="33">
                  <c:v>2091.9091199999998</c:v>
                </c:pt>
                <c:pt idx="34">
                  <c:v>2440.5606400000001</c:v>
                </c:pt>
                <c:pt idx="35">
                  <c:v>2789.21216</c:v>
                </c:pt>
                <c:pt idx="36">
                  <c:v>3137.8636799999999</c:v>
                </c:pt>
                <c:pt idx="37">
                  <c:v>3486.5151999999998</c:v>
                </c:pt>
                <c:pt idx="38">
                  <c:v>4183.8182399999996</c:v>
                </c:pt>
                <c:pt idx="39">
                  <c:v>4881.1212800000003</c:v>
                </c:pt>
                <c:pt idx="40">
                  <c:v>5578.4243200000001</c:v>
                </c:pt>
                <c:pt idx="41">
                  <c:v>6275.7273599999999</c:v>
                </c:pt>
                <c:pt idx="42">
                  <c:v>8367.6364799999992</c:v>
                </c:pt>
                <c:pt idx="43">
                  <c:v>9762.2425600000006</c:v>
                </c:pt>
                <c:pt idx="44">
                  <c:v>11156.84864</c:v>
                </c:pt>
                <c:pt idx="45">
                  <c:v>12551.45472</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Projections!$P$35:$BN$35</c15:sqref>
                  </c15:fullRef>
                </c:ext>
              </c:extLst>
              <c:f>(Projections!$P$35:$AU$35,Projections!$AW$35:$AZ$35,Projections!$BB$35:$BE$35,Projections!$BG$35:$BJ$35)</c:f>
              <c:numCache>
                <c:formatCode>#,##0_ ;[Red]\-#,##0\ </c:formatCode>
                <c:ptCount val="4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pt idx="18">
                  <c:v>4915200</c:v>
                </c:pt>
                <c:pt idx="19">
                  <c:v>5734400</c:v>
                </c:pt>
                <c:pt idx="20">
                  <c:v>6553600</c:v>
                </c:pt>
                <c:pt idx="21">
                  <c:v>7372800</c:v>
                </c:pt>
                <c:pt idx="22">
                  <c:v>8192000</c:v>
                </c:pt>
                <c:pt idx="23">
                  <c:v>9830400</c:v>
                </c:pt>
                <c:pt idx="24">
                  <c:v>11468800</c:v>
                </c:pt>
                <c:pt idx="25">
                  <c:v>13107200</c:v>
                </c:pt>
                <c:pt idx="26">
                  <c:v>14745600</c:v>
                </c:pt>
                <c:pt idx="27">
                  <c:v>16384000</c:v>
                </c:pt>
                <c:pt idx="28">
                  <c:v>19660800</c:v>
                </c:pt>
                <c:pt idx="29">
                  <c:v>22937600</c:v>
                </c:pt>
                <c:pt idx="30">
                  <c:v>26214400</c:v>
                </c:pt>
                <c:pt idx="31">
                  <c:v>29491200</c:v>
                </c:pt>
                <c:pt idx="32">
                  <c:v>39321600</c:v>
                </c:pt>
                <c:pt idx="33">
                  <c:v>45875200</c:v>
                </c:pt>
                <c:pt idx="34">
                  <c:v>52428800</c:v>
                </c:pt>
                <c:pt idx="35">
                  <c:v>58982400</c:v>
                </c:pt>
                <c:pt idx="36">
                  <c:v>78643200</c:v>
                </c:pt>
                <c:pt idx="37">
                  <c:v>91750400</c:v>
                </c:pt>
                <c:pt idx="38">
                  <c:v>104857600</c:v>
                </c:pt>
                <c:pt idx="39">
                  <c:v>117964800</c:v>
                </c:pt>
                <c:pt idx="40">
                  <c:v>157286400</c:v>
                </c:pt>
                <c:pt idx="41">
                  <c:v>183500800</c:v>
                </c:pt>
                <c:pt idx="42">
                  <c:v>209715200</c:v>
                </c:pt>
                <c:pt idx="43">
                  <c:v>235929600</c:v>
                </c:pt>
              </c:numCache>
            </c:numRef>
          </c:val>
          <c:smooth val="0"/>
          <c:extLst>
            <c:ext xmlns:c16="http://schemas.microsoft.com/office/drawing/2014/chart" uri="{C3380CC4-5D6E-409C-BE32-E72D297353CC}">
              <c16:uniqueId val="{00000000-9DE3-43B6-B60B-9B4AA4851702}"/>
            </c:ext>
          </c:extLst>
        </c:ser>
        <c:ser>
          <c:idx val="1"/>
          <c:order val="1"/>
          <c:tx>
            <c:strRef>
              <c:f>Projections!$A$58</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Projections!$P$58:$BN$58</c15:sqref>
                  </c15:fullRef>
                </c:ext>
              </c:extLst>
              <c:f>(Projections!$P$58:$AU$58,Projections!$AW$58:$AZ$58,Projections!$BB$58:$BE$58,Projections!$BG$58:$BJ$58)</c:f>
              <c:numCache>
                <c:formatCode>General</c:formatCode>
                <c:ptCount val="44"/>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4110839</c:v>
                </c:pt>
                <c:pt idx="18" formatCode="#,##0">
                  <c:v>4926914</c:v>
                </c:pt>
                <c:pt idx="19" formatCode="#,##0">
                  <c:v>5730184</c:v>
                </c:pt>
                <c:pt idx="20" formatCode="#,##0">
                  <c:v>6547413</c:v>
                </c:pt>
                <c:pt idx="21" formatCode="#,##0">
                  <c:v>7365509</c:v>
                </c:pt>
                <c:pt idx="22" formatCode="#,##0">
                  <c:v>8182881</c:v>
                </c:pt>
                <c:pt idx="23" formatCode="#,##0">
                  <c:v>9827026</c:v>
                </c:pt>
                <c:pt idx="24" formatCode="#,##0">
                  <c:v>11468800</c:v>
                </c:pt>
                <c:pt idx="25" formatCode="#,##0">
                  <c:v>13107200</c:v>
                </c:pt>
                <c:pt idx="26" formatCode="#,##0">
                  <c:v>14745600</c:v>
                </c:pt>
                <c:pt idx="27" formatCode="#,##0">
                  <c:v>16384000</c:v>
                </c:pt>
                <c:pt idx="28" formatCode="#,##0">
                  <c:v>19660800</c:v>
                </c:pt>
                <c:pt idx="29" formatCode="#,##0">
                  <c:v>22937600</c:v>
                </c:pt>
                <c:pt idx="30" formatCode="#,##0">
                  <c:v>26214400</c:v>
                </c:pt>
                <c:pt idx="31" formatCode="#,##0">
                  <c:v>29491200</c:v>
                </c:pt>
                <c:pt idx="32" formatCode="#,##0">
                  <c:v>39321600</c:v>
                </c:pt>
                <c:pt idx="33" formatCode="#,##0">
                  <c:v>45875200</c:v>
                </c:pt>
                <c:pt idx="34" formatCode="#,##0">
                  <c:v>52428800</c:v>
                </c:pt>
                <c:pt idx="35" formatCode="#,##0">
                  <c:v>58982400</c:v>
                </c:pt>
                <c:pt idx="36" formatCode="#,##0">
                  <c:v>78643200</c:v>
                </c:pt>
                <c:pt idx="37" formatCode="#,##0">
                  <c:v>91750400</c:v>
                </c:pt>
                <c:pt idx="38" formatCode="#,##0">
                  <c:v>104857600</c:v>
                </c:pt>
                <c:pt idx="39" formatCode="#,##0">
                  <c:v>117964800</c:v>
                </c:pt>
                <c:pt idx="40" formatCode="#,##0">
                  <c:v>157286400</c:v>
                </c:pt>
                <c:pt idx="41" formatCode="#,##0">
                  <c:v>183500800</c:v>
                </c:pt>
                <c:pt idx="42" formatCode="#,##0">
                  <c:v>209715200</c:v>
                </c:pt>
                <c:pt idx="43" formatCode="#,##0">
                  <c:v>235929600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Projections!$P$49:$BN$49</c15:sqref>
                  </c15:fullRef>
                </c:ext>
              </c:extLst>
              <c:f>(Projections!$P$49:$AU$49,Projections!$AW$49:$AZ$49,Projections!$BB$49:$BE$49,Projections!$BG$49:$BJ$49)</c:f>
              <c:numCache>
                <c:formatCode>#,##0_ ;[Red]\-#,##0\ </c:formatCode>
                <c:ptCount val="44"/>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73728</c:v>
                </c:pt>
                <c:pt idx="19">
                  <c:v>86016</c:v>
                </c:pt>
                <c:pt idx="20">
                  <c:v>98304</c:v>
                </c:pt>
                <c:pt idx="21">
                  <c:v>110592</c:v>
                </c:pt>
                <c:pt idx="22">
                  <c:v>122880</c:v>
                </c:pt>
                <c:pt idx="23">
                  <c:v>147456</c:v>
                </c:pt>
                <c:pt idx="24">
                  <c:v>172032</c:v>
                </c:pt>
                <c:pt idx="25">
                  <c:v>196608</c:v>
                </c:pt>
                <c:pt idx="26">
                  <c:v>221184</c:v>
                </c:pt>
                <c:pt idx="27">
                  <c:v>245760</c:v>
                </c:pt>
                <c:pt idx="28">
                  <c:v>294912</c:v>
                </c:pt>
                <c:pt idx="29">
                  <c:v>344064</c:v>
                </c:pt>
                <c:pt idx="30">
                  <c:v>393216</c:v>
                </c:pt>
                <c:pt idx="31">
                  <c:v>442368</c:v>
                </c:pt>
                <c:pt idx="32">
                  <c:v>589824</c:v>
                </c:pt>
                <c:pt idx="33">
                  <c:v>688128</c:v>
                </c:pt>
                <c:pt idx="34">
                  <c:v>786432</c:v>
                </c:pt>
                <c:pt idx="35">
                  <c:v>884736</c:v>
                </c:pt>
                <c:pt idx="36">
                  <c:v>1179648</c:v>
                </c:pt>
                <c:pt idx="37">
                  <c:v>1376256</c:v>
                </c:pt>
                <c:pt idx="38">
                  <c:v>1572864</c:v>
                </c:pt>
                <c:pt idx="39">
                  <c:v>1769472</c:v>
                </c:pt>
                <c:pt idx="40">
                  <c:v>2359296</c:v>
                </c:pt>
                <c:pt idx="41">
                  <c:v>2752512</c:v>
                </c:pt>
                <c:pt idx="42">
                  <c:v>3145728</c:v>
                </c:pt>
                <c:pt idx="43">
                  <c:v>3538944</c:v>
                </c:pt>
              </c:numCache>
            </c:numRef>
          </c:val>
          <c:smooth val="0"/>
          <c:extLst>
            <c:ext xmlns:c16="http://schemas.microsoft.com/office/drawing/2014/chart" uri="{C3380CC4-5D6E-409C-BE32-E72D297353CC}">
              <c16:uniqueId val="{00000000-FE1B-4946-A476-7952C5C71231}"/>
            </c:ext>
          </c:extLst>
        </c:ser>
        <c:ser>
          <c:idx val="1"/>
          <c:order val="1"/>
          <c:tx>
            <c:strRef>
              <c:f>Projections!$A$62</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Projections!$P$62:$BN$62</c15:sqref>
                  </c15:fullRef>
                </c:ext>
              </c:extLst>
              <c:f>(Projections!$P$62:$AU$62,Projections!$AW$62:$AZ$62,Projections!$BB$62:$BE$62,Projections!$BG$62:$BJ$62)</c:f>
              <c:numCache>
                <c:formatCode>General</c:formatCode>
                <c:ptCount val="44"/>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70679</c:v>
                </c:pt>
                <c:pt idx="18" formatCode="#,##0">
                  <c:v>80808</c:v>
                </c:pt>
                <c:pt idx="19" formatCode="#,##0">
                  <c:v>91173</c:v>
                </c:pt>
                <c:pt idx="20" formatCode="#,##0">
                  <c:v>101812</c:v>
                </c:pt>
                <c:pt idx="21" formatCode="#,##0">
                  <c:v>112146</c:v>
                </c:pt>
                <c:pt idx="22" formatCode="#,##0">
                  <c:v>122149</c:v>
                </c:pt>
                <c:pt idx="23" formatCode="#,##0">
                  <c:v>151364</c:v>
                </c:pt>
                <c:pt idx="24" formatCode="#,##0">
                  <c:v>157195</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44216.879480439813</c:v>
                </c:pt>
                <c:pt idx="1">
                  <c:v>44219.879480439813</c:v>
                </c:pt>
                <c:pt idx="2">
                  <c:v>44222.879480439813</c:v>
                </c:pt>
                <c:pt idx="3">
                  <c:v>44225.879480439813</c:v>
                </c:pt>
                <c:pt idx="4">
                  <c:v>44228.879480439813</c:v>
                </c:pt>
                <c:pt idx="5">
                  <c:v>44231.879480439813</c:v>
                </c:pt>
                <c:pt idx="6">
                  <c:v>44234.879480439813</c:v>
                </c:pt>
                <c:pt idx="7">
                  <c:v>44237.879480439813</c:v>
                </c:pt>
                <c:pt idx="8">
                  <c:v>44240.879480439813</c:v>
                </c:pt>
                <c:pt idx="9">
                  <c:v>44243.879480439813</c:v>
                </c:pt>
                <c:pt idx="10">
                  <c:v>44246.879480439813</c:v>
                </c:pt>
                <c:pt idx="11">
                  <c:v>44249.879480439813</c:v>
                </c:pt>
                <c:pt idx="12">
                  <c:v>44252.879480439813</c:v>
                </c:pt>
                <c:pt idx="13">
                  <c:v>44255.879480439813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44216.879480439813</c:v>
                </c:pt>
                <c:pt idx="1">
                  <c:v>44219.879480439813</c:v>
                </c:pt>
                <c:pt idx="2">
                  <c:v>44222.879480439813</c:v>
                </c:pt>
                <c:pt idx="3">
                  <c:v>44225.879480439813</c:v>
                </c:pt>
                <c:pt idx="4">
                  <c:v>44228.879480439813</c:v>
                </c:pt>
                <c:pt idx="5">
                  <c:v>44231.879480439813</c:v>
                </c:pt>
                <c:pt idx="6">
                  <c:v>44234.879480439813</c:v>
                </c:pt>
                <c:pt idx="7">
                  <c:v>44237.879480439813</c:v>
                </c:pt>
                <c:pt idx="8">
                  <c:v>44240.879480439813</c:v>
                </c:pt>
                <c:pt idx="9">
                  <c:v>44243.879480439813</c:v>
                </c:pt>
                <c:pt idx="10">
                  <c:v>44246.879480439813</c:v>
                </c:pt>
                <c:pt idx="11">
                  <c:v>44249.879480439813</c:v>
                </c:pt>
                <c:pt idx="12">
                  <c:v>44252.879480439813</c:v>
                </c:pt>
                <c:pt idx="13">
                  <c:v>44255.879480439813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44216.879480439813</c:v>
                </c:pt>
                <c:pt idx="1">
                  <c:v>44219.879480439813</c:v>
                </c:pt>
                <c:pt idx="2">
                  <c:v>44222.879480439813</c:v>
                </c:pt>
                <c:pt idx="3">
                  <c:v>44225.879480439813</c:v>
                </c:pt>
                <c:pt idx="4">
                  <c:v>44228.879480439813</c:v>
                </c:pt>
                <c:pt idx="5">
                  <c:v>44231.879480439813</c:v>
                </c:pt>
                <c:pt idx="6">
                  <c:v>44234.879480439813</c:v>
                </c:pt>
                <c:pt idx="7">
                  <c:v>44237.879480439813</c:v>
                </c:pt>
                <c:pt idx="8">
                  <c:v>44240.879480439813</c:v>
                </c:pt>
                <c:pt idx="9">
                  <c:v>44243.879480439813</c:v>
                </c:pt>
                <c:pt idx="10">
                  <c:v>44246.879480439813</c:v>
                </c:pt>
                <c:pt idx="11">
                  <c:v>44249.879480439813</c:v>
                </c:pt>
                <c:pt idx="12">
                  <c:v>44252.879480439813</c:v>
                </c:pt>
                <c:pt idx="13">
                  <c:v>44255.879480439813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44216.879480439813</c:v>
                </c:pt>
                <c:pt idx="1">
                  <c:v>44219.879480439813</c:v>
                </c:pt>
                <c:pt idx="2">
                  <c:v>44222.879480439813</c:v>
                </c:pt>
                <c:pt idx="3">
                  <c:v>44225.879480439813</c:v>
                </c:pt>
                <c:pt idx="4">
                  <c:v>44228.879480439813</c:v>
                </c:pt>
                <c:pt idx="5">
                  <c:v>44231.879480439813</c:v>
                </c:pt>
                <c:pt idx="6">
                  <c:v>44234.879480439813</c:v>
                </c:pt>
                <c:pt idx="7">
                  <c:v>44237.879480439813</c:v>
                </c:pt>
                <c:pt idx="8">
                  <c:v>44240.879480439813</c:v>
                </c:pt>
                <c:pt idx="9">
                  <c:v>44243.879480439813</c:v>
                </c:pt>
                <c:pt idx="10">
                  <c:v>44246.879480439813</c:v>
                </c:pt>
                <c:pt idx="11">
                  <c:v>44249.879480439813</c:v>
                </c:pt>
                <c:pt idx="12">
                  <c:v>44252.879480439813</c:v>
                </c:pt>
                <c:pt idx="13">
                  <c:v>44255.879480439813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44216.879480439813</c:v>
                </c:pt>
                <c:pt idx="1">
                  <c:v>44219.879480439813</c:v>
                </c:pt>
                <c:pt idx="2">
                  <c:v>44222.879480439813</c:v>
                </c:pt>
                <c:pt idx="3">
                  <c:v>44225.879480439813</c:v>
                </c:pt>
                <c:pt idx="4">
                  <c:v>44228.879480439813</c:v>
                </c:pt>
                <c:pt idx="5">
                  <c:v>44231.879480439813</c:v>
                </c:pt>
                <c:pt idx="6">
                  <c:v>44234.879480439813</c:v>
                </c:pt>
                <c:pt idx="7">
                  <c:v>44237.879480439813</c:v>
                </c:pt>
                <c:pt idx="8">
                  <c:v>44240.879480439813</c:v>
                </c:pt>
                <c:pt idx="9">
                  <c:v>44243.879480439813</c:v>
                </c:pt>
                <c:pt idx="10">
                  <c:v>44246.879480439813</c:v>
                </c:pt>
                <c:pt idx="11">
                  <c:v>44249.879480439813</c:v>
                </c:pt>
                <c:pt idx="12">
                  <c:v>44252.879480439813</c:v>
                </c:pt>
                <c:pt idx="13">
                  <c:v>44255.879480439813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42.857142857142847</c:v>
                </c:pt>
                <c:pt idx="1">
                  <c:v>85.714285714285694</c:v>
                </c:pt>
                <c:pt idx="2">
                  <c:v>171.42857142857139</c:v>
                </c:pt>
                <c:pt idx="3">
                  <c:v>342.85714285714278</c:v>
                </c:pt>
                <c:pt idx="4">
                  <c:v>685.71428571428555</c:v>
                </c:pt>
                <c:pt idx="5">
                  <c:v>1371.4285714285711</c:v>
                </c:pt>
                <c:pt idx="6">
                  <c:v>2742.8571428571422</c:v>
                </c:pt>
                <c:pt idx="7">
                  <c:v>5485.7142857142844</c:v>
                </c:pt>
                <c:pt idx="8">
                  <c:v>10971.428571428569</c:v>
                </c:pt>
                <c:pt idx="9">
                  <c:v>21942.857142857138</c:v>
                </c:pt>
                <c:pt idx="10">
                  <c:v>43885.714285714275</c:v>
                </c:pt>
                <c:pt idx="11">
                  <c:v>87771.428571428551</c:v>
                </c:pt>
                <c:pt idx="12">
                  <c:v>175542.8571428571</c:v>
                </c:pt>
                <c:pt idx="13">
                  <c:v>351085.7142857142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44216.879480439813</c:v>
                </c:pt>
                <c:pt idx="1">
                  <c:v>44219.879480439813</c:v>
                </c:pt>
                <c:pt idx="2">
                  <c:v>44222.879480439813</c:v>
                </c:pt>
                <c:pt idx="3">
                  <c:v>44225.879480439813</c:v>
                </c:pt>
                <c:pt idx="4">
                  <c:v>44228.879480439813</c:v>
                </c:pt>
                <c:pt idx="5">
                  <c:v>44231.879480439813</c:v>
                </c:pt>
                <c:pt idx="6">
                  <c:v>44234.879480439813</c:v>
                </c:pt>
                <c:pt idx="7">
                  <c:v>44237.879480439813</c:v>
                </c:pt>
                <c:pt idx="8">
                  <c:v>44240.879480439813</c:v>
                </c:pt>
                <c:pt idx="9">
                  <c:v>44243.879480439813</c:v>
                </c:pt>
                <c:pt idx="10">
                  <c:v>44246.879480439813</c:v>
                </c:pt>
                <c:pt idx="11">
                  <c:v>44249.879480439813</c:v>
                </c:pt>
                <c:pt idx="12">
                  <c:v>44252.879480439813</c:v>
                </c:pt>
                <c:pt idx="13">
                  <c:v>44255.879480439813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14.285714285714279</c:v>
                </c:pt>
                <c:pt idx="1">
                  <c:v>28.571428571428559</c:v>
                </c:pt>
                <c:pt idx="2">
                  <c:v>57.142857142857117</c:v>
                </c:pt>
                <c:pt idx="3">
                  <c:v>114.28571428571423</c:v>
                </c:pt>
                <c:pt idx="4">
                  <c:v>228.57142857142847</c:v>
                </c:pt>
                <c:pt idx="5">
                  <c:v>457.14285714285694</c:v>
                </c:pt>
                <c:pt idx="6">
                  <c:v>914.28571428571388</c:v>
                </c:pt>
                <c:pt idx="7">
                  <c:v>1828.5714285714278</c:v>
                </c:pt>
                <c:pt idx="8">
                  <c:v>3657.1428571428555</c:v>
                </c:pt>
                <c:pt idx="9">
                  <c:v>7314.285714285711</c:v>
                </c:pt>
                <c:pt idx="10">
                  <c:v>14628.571428571422</c:v>
                </c:pt>
                <c:pt idx="11">
                  <c:v>29257.142857142844</c:v>
                </c:pt>
                <c:pt idx="12">
                  <c:v>58514.285714285688</c:v>
                </c:pt>
                <c:pt idx="13">
                  <c:v>117028.57142857138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44216.879480439813</c:v>
                </c:pt>
                <c:pt idx="1">
                  <c:v>44219.879480439813</c:v>
                </c:pt>
                <c:pt idx="2">
                  <c:v>44222.879480439813</c:v>
                </c:pt>
                <c:pt idx="3">
                  <c:v>44225.879480439813</c:v>
                </c:pt>
                <c:pt idx="4">
                  <c:v>44228.879480439813</c:v>
                </c:pt>
                <c:pt idx="5">
                  <c:v>44231.879480439813</c:v>
                </c:pt>
                <c:pt idx="6">
                  <c:v>44234.879480439813</c:v>
                </c:pt>
                <c:pt idx="7">
                  <c:v>44237.879480439813</c:v>
                </c:pt>
                <c:pt idx="8">
                  <c:v>44240.879480439813</c:v>
                </c:pt>
                <c:pt idx="9">
                  <c:v>44243.879480439813</c:v>
                </c:pt>
                <c:pt idx="10">
                  <c:v>44246.879480439813</c:v>
                </c:pt>
                <c:pt idx="11">
                  <c:v>44249.879480439813</c:v>
                </c:pt>
                <c:pt idx="12">
                  <c:v>44252.879480439813</c:v>
                </c:pt>
                <c:pt idx="13">
                  <c:v>44255.879480439813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44216.879480439813</c:v>
                </c:pt>
                <c:pt idx="1">
                  <c:v>44219.879480439813</c:v>
                </c:pt>
                <c:pt idx="2">
                  <c:v>44222.879480439813</c:v>
                </c:pt>
                <c:pt idx="3">
                  <c:v>44225.879480439813</c:v>
                </c:pt>
                <c:pt idx="4">
                  <c:v>44228.879480439813</c:v>
                </c:pt>
                <c:pt idx="5">
                  <c:v>44231.879480439813</c:v>
                </c:pt>
                <c:pt idx="6">
                  <c:v>44234.879480439813</c:v>
                </c:pt>
                <c:pt idx="7">
                  <c:v>44237.879480439813</c:v>
                </c:pt>
                <c:pt idx="8">
                  <c:v>44240.879480439813</c:v>
                </c:pt>
                <c:pt idx="9">
                  <c:v>44243.879480439813</c:v>
                </c:pt>
                <c:pt idx="10">
                  <c:v>44246.879480439813</c:v>
                </c:pt>
                <c:pt idx="11">
                  <c:v>44249.879480439813</c:v>
                </c:pt>
                <c:pt idx="12">
                  <c:v>44252.879480439813</c:v>
                </c:pt>
                <c:pt idx="13">
                  <c:v>44255.879480439813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44216.879480439813</c:v>
                </c:pt>
                <c:pt idx="1">
                  <c:v>44219.879480439813</c:v>
                </c:pt>
                <c:pt idx="2">
                  <c:v>44222.879480439813</c:v>
                </c:pt>
                <c:pt idx="3">
                  <c:v>44225.879480439813</c:v>
                </c:pt>
                <c:pt idx="4">
                  <c:v>44228.879480439813</c:v>
                </c:pt>
                <c:pt idx="5">
                  <c:v>44231.879480439813</c:v>
                </c:pt>
                <c:pt idx="6">
                  <c:v>44234.879480439813</c:v>
                </c:pt>
                <c:pt idx="7">
                  <c:v>44237.879480439813</c:v>
                </c:pt>
                <c:pt idx="8">
                  <c:v>44240.879480439813</c:v>
                </c:pt>
                <c:pt idx="9">
                  <c:v>44243.879480439813</c:v>
                </c:pt>
                <c:pt idx="10">
                  <c:v>44246.879480439813</c:v>
                </c:pt>
                <c:pt idx="11">
                  <c:v>44249.879480439813</c:v>
                </c:pt>
                <c:pt idx="12">
                  <c:v>44252.879480439813</c:v>
                </c:pt>
                <c:pt idx="13">
                  <c:v>44255.879480439813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44216.879480439813</c:v>
                </c:pt>
                <c:pt idx="1">
                  <c:v>44219.879480439813</c:v>
                </c:pt>
                <c:pt idx="2">
                  <c:v>44222.879480439813</c:v>
                </c:pt>
                <c:pt idx="3">
                  <c:v>44225.879480439813</c:v>
                </c:pt>
                <c:pt idx="4">
                  <c:v>44228.879480439813</c:v>
                </c:pt>
                <c:pt idx="5">
                  <c:v>44231.879480439813</c:v>
                </c:pt>
                <c:pt idx="6">
                  <c:v>44234.879480439813</c:v>
                </c:pt>
                <c:pt idx="7">
                  <c:v>44237.879480439813</c:v>
                </c:pt>
                <c:pt idx="8">
                  <c:v>44240.879480439813</c:v>
                </c:pt>
                <c:pt idx="9">
                  <c:v>44243.879480439813</c:v>
                </c:pt>
                <c:pt idx="10">
                  <c:v>44246.879480439813</c:v>
                </c:pt>
                <c:pt idx="11">
                  <c:v>44249.879480439813</c:v>
                </c:pt>
                <c:pt idx="12">
                  <c:v>44252.879480439813</c:v>
                </c:pt>
                <c:pt idx="13">
                  <c:v>44255.879480439813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44216.879480439813</c:v>
                </c:pt>
                <c:pt idx="1">
                  <c:v>44219.879480439813</c:v>
                </c:pt>
                <c:pt idx="2">
                  <c:v>44222.879480439813</c:v>
                </c:pt>
                <c:pt idx="3">
                  <c:v>44225.879480439813</c:v>
                </c:pt>
                <c:pt idx="4">
                  <c:v>44228.879480439813</c:v>
                </c:pt>
                <c:pt idx="5">
                  <c:v>44231.879480439813</c:v>
                </c:pt>
                <c:pt idx="6">
                  <c:v>44234.879480439813</c:v>
                </c:pt>
                <c:pt idx="7">
                  <c:v>44237.879480439813</c:v>
                </c:pt>
                <c:pt idx="8">
                  <c:v>44240.879480439813</c:v>
                </c:pt>
                <c:pt idx="9">
                  <c:v>44243.879480439813</c:v>
                </c:pt>
                <c:pt idx="10">
                  <c:v>44246.879480439813</c:v>
                </c:pt>
                <c:pt idx="11">
                  <c:v>44249.879480439813</c:v>
                </c:pt>
                <c:pt idx="12">
                  <c:v>44252.879480439813</c:v>
                </c:pt>
                <c:pt idx="13">
                  <c:v>44255.879480439813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Projections!$P$45:$BN$45</c15:sqref>
                  </c15:fullRef>
                </c:ext>
              </c:extLst>
              <c:f>(Projections!$P$45:$BE$45,Projections!$BG$45:$BJ$45)</c:f>
              <c:numCache>
                <c:formatCode>#,##0_ ;[Red]\-#,##0\ </c:formatCode>
                <c:ptCount val="46"/>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2010393.4225772631</c:v>
                </c:pt>
                <c:pt idx="18">
                  <c:v>956675.80008620804</c:v>
                </c:pt>
                <c:pt idx="19">
                  <c:v>1101235.6401215366</c:v>
                </c:pt>
                <c:pt idx="20">
                  <c:v>1364529.5567660872</c:v>
                </c:pt>
                <c:pt idx="21">
                  <c:v>1706517.6818449753</c:v>
                </c:pt>
                <c:pt idx="22">
                  <c:v>2356420.7430199692</c:v>
                </c:pt>
                <c:pt idx="23">
                  <c:v>49564397.517196603</c:v>
                </c:pt>
                <c:pt idx="24">
                  <c:v>16346104.704848859</c:v>
                </c:pt>
                <c:pt idx="25">
                  <c:v>17433334.888822176</c:v>
                </c:pt>
                <c:pt idx="26">
                  <c:v>14920063.685403436</c:v>
                </c:pt>
                <c:pt idx="27">
                  <c:v>13533698.714409493</c:v>
                </c:pt>
                <c:pt idx="28">
                  <c:v>12728084.452367041</c:v>
                </c:pt>
                <c:pt idx="29">
                  <c:v>13479154.966510585</c:v>
                </c:pt>
                <c:pt idx="30">
                  <c:v>14174455.270191099</c:v>
                </c:pt>
                <c:pt idx="31">
                  <c:v>14840871.372444957</c:v>
                </c:pt>
                <c:pt idx="32">
                  <c:v>15492079.059764657</c:v>
                </c:pt>
                <c:pt idx="33">
                  <c:v>16135346.425538948</c:v>
                </c:pt>
                <c:pt idx="34">
                  <c:v>18397138.739955779</c:v>
                </c:pt>
                <c:pt idx="35">
                  <c:v>20494111.038161296</c:v>
                </c:pt>
                <c:pt idx="36">
                  <c:v>22463861.280025061</c:v>
                </c:pt>
                <c:pt idx="37">
                  <c:v>24333824.209941149</c:v>
                </c:pt>
                <c:pt idx="38">
                  <c:v>26124341.78320187</c:v>
                </c:pt>
                <c:pt idx="39">
                  <c:v>30503213.430660248</c:v>
                </c:pt>
                <c:pt idx="40">
                  <c:v>34676308.415231526</c:v>
                </c:pt>
                <c:pt idx="41">
                  <c:v>38675513.74217844</c:v>
                </c:pt>
                <c:pt idx="42">
                  <c:v>46252498.644161798</c:v>
                </c:pt>
                <c:pt idx="43">
                  <c:v>54575229.782424405</c:v>
                </c:pt>
                <c:pt idx="44">
                  <c:v>62627634.311200984</c:v>
                </c:pt>
                <c:pt idx="45">
                  <c:v>70440090.486330405</c:v>
                </c:pt>
              </c:numCache>
            </c:numRef>
          </c:val>
          <c:smooth val="0"/>
          <c:extLst>
            <c:ext xmlns:c16="http://schemas.microsoft.com/office/drawing/2014/chart" uri="{C3380CC4-5D6E-409C-BE32-E72D297353CC}">
              <c16:uniqueId val="{00000003-5231-4BE2-97ED-54F0C3DB105C}"/>
            </c:ext>
          </c:extLst>
        </c:ser>
        <c:ser>
          <c:idx val="2"/>
          <c:order val="1"/>
          <c:tx>
            <c:strRef>
              <c:f>Projections!$A$46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Projections!$P$46:$BN$46</c15:sqref>
                  </c15:fullRef>
                </c:ext>
              </c:extLst>
              <c:f>(Projections!$P$46:$BE$46,Projections!$BG$46:$BJ$46)</c:f>
              <c:numCache>
                <c:formatCode>#,##0_ ;[Red]\-#,##0\ </c:formatCode>
                <c:ptCount val="46"/>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1582058.7721910735</c:v>
                </c:pt>
                <c:pt idx="18">
                  <c:v>0</c:v>
                </c:pt>
                <c:pt idx="19">
                  <c:v>631020.22972472338</c:v>
                </c:pt>
                <c:pt idx="20">
                  <c:v>432429.13170711964</c:v>
                </c:pt>
                <c:pt idx="21">
                  <c:v>0</c:v>
                </c:pt>
                <c:pt idx="22">
                  <c:v>1333854.5357557274</c:v>
                </c:pt>
                <c:pt idx="23">
                  <c:v>37652669.400940955</c:v>
                </c:pt>
                <c:pt idx="24">
                  <c:v>11582542.116490133</c:v>
                </c:pt>
                <c:pt idx="25">
                  <c:v>11741829.045170188</c:v>
                </c:pt>
                <c:pt idx="26">
                  <c:v>9547022.7710600328</c:v>
                </c:pt>
                <c:pt idx="27">
                  <c:v>8270813.2355944291</c:v>
                </c:pt>
                <c:pt idx="28">
                  <c:v>7463418.8438805379</c:v>
                </c:pt>
                <c:pt idx="29">
                  <c:v>7632403.7792255674</c:v>
                </c:pt>
                <c:pt idx="30">
                  <c:v>7773107.1701529343</c:v>
                </c:pt>
                <c:pt idx="31">
                  <c:v>7902665.4222301096</c:v>
                </c:pt>
                <c:pt idx="32">
                  <c:v>8029040.1895084614</c:v>
                </c:pt>
                <c:pt idx="33">
                  <c:v>8155964.3023642348</c:v>
                </c:pt>
                <c:pt idx="34">
                  <c:v>9106814.6489594541</c:v>
                </c:pt>
                <c:pt idx="35">
                  <c:v>9945646.3990380988</c:v>
                </c:pt>
                <c:pt idx="36">
                  <c:v>10699150.658828236</c:v>
                </c:pt>
                <c:pt idx="37">
                  <c:v>11386582.508727331</c:v>
                </c:pt>
                <c:pt idx="38">
                  <c:v>12022061.423563356</c:v>
                </c:pt>
                <c:pt idx="39">
                  <c:v>13845639.089119902</c:v>
                </c:pt>
                <c:pt idx="40">
                  <c:v>15530290.961195197</c:v>
                </c:pt>
                <c:pt idx="41">
                  <c:v>17098366.550561622</c:v>
                </c:pt>
                <c:pt idx="42">
                  <c:v>19954463.368924387</c:v>
                </c:pt>
                <c:pt idx="43">
                  <c:v>23319133.815726478</c:v>
                </c:pt>
                <c:pt idx="44">
                  <c:v>26503132.432803117</c:v>
                </c:pt>
                <c:pt idx="45">
                  <c:v>29527497.417508036</c:v>
                </c:pt>
              </c:numCache>
            </c:numRef>
          </c:val>
          <c:smooth val="0"/>
          <c:extLst>
            <c:ext xmlns:c16="http://schemas.microsoft.com/office/drawing/2014/chart" uri="{C3380CC4-5D6E-409C-BE32-E72D297353CC}">
              <c16:uniqueId val="{00000002-9381-4A4E-BB43-DCD8EC2F4E00}"/>
            </c:ext>
          </c:extLst>
        </c:ser>
        <c:ser>
          <c:idx val="0"/>
          <c:order val="2"/>
          <c:tx>
            <c:strRef>
              <c:f>Projections!$A$47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Projections!$P$47:$BN$47</c15:sqref>
                  </c15:fullRef>
                </c:ext>
              </c:extLst>
              <c:f>(Projections!$P$47:$BE$47,Projections!$BG$47:$BJ$47)</c:f>
              <c:numCache>
                <c:formatCode>#,##0_ ;[Red]\-#,##0\ </c:formatCode>
                <c:ptCount val="46"/>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319749.33508169668</c:v>
                </c:pt>
                <c:pt idx="18">
                  <c:v>634198.29333693732</c:v>
                </c:pt>
                <c:pt idx="19">
                  <c:v>285561.31732742168</c:v>
                </c:pt>
                <c:pt idx="20">
                  <c:v>350835.95069856732</c:v>
                </c:pt>
                <c:pt idx="21">
                  <c:v>477912.97694145935</c:v>
                </c:pt>
                <c:pt idx="22">
                  <c:v>420987.76922458311</c:v>
                </c:pt>
                <c:pt idx="23">
                  <c:v>9054042.0304193217</c:v>
                </c:pt>
                <c:pt idx="24">
                  <c:v>3236886.4292055592</c:v>
                </c:pt>
                <c:pt idx="25">
                  <c:v>3602066.9170684814</c:v>
                </c:pt>
                <c:pt idx="26">
                  <c:v>3190390.7857517041</c:v>
                </c:pt>
                <c:pt idx="27">
                  <c:v>2968819.0232850085</c:v>
                </c:pt>
                <c:pt idx="28">
                  <c:v>2847878.1111275768</c:v>
                </c:pt>
                <c:pt idx="29">
                  <c:v>3060985.0524108219</c:v>
                </c:pt>
                <c:pt idx="30">
                  <c:v>3258788.1841312414</c:v>
                </c:pt>
                <c:pt idx="31">
                  <c:v>3447642.6834311392</c:v>
                </c:pt>
                <c:pt idx="32">
                  <c:v>3631020.8933556261</c:v>
                </c:pt>
                <c:pt idx="33">
                  <c:v>3810920.762256931</c:v>
                </c:pt>
                <c:pt idx="34">
                  <c:v>4371564.6440696344</c:v>
                </c:pt>
                <c:pt idx="35">
                  <c:v>4896622.839912639</c:v>
                </c:pt>
                <c:pt idx="36">
                  <c:v>5393911.051369437</c:v>
                </c:pt>
                <c:pt idx="37">
                  <c:v>5869196.5370912086</c:v>
                </c:pt>
                <c:pt idx="38">
                  <c:v>6326800.049610653</c:v>
                </c:pt>
                <c:pt idx="39">
                  <c:v>7411292.5573959686</c:v>
                </c:pt>
                <c:pt idx="40">
                  <c:v>8451175.0353860129</c:v>
                </c:pt>
                <c:pt idx="41">
                  <c:v>9453151.5172890015</c:v>
                </c:pt>
                <c:pt idx="42">
                  <c:v>11364621.776366044</c:v>
                </c:pt>
                <c:pt idx="43">
                  <c:v>13436431.380319078</c:v>
                </c:pt>
                <c:pt idx="44">
                  <c:v>15449193.212832179</c:v>
                </c:pt>
                <c:pt idx="45">
                  <c:v>17409362.212352272</c:v>
                </c:pt>
              </c:numCache>
            </c:numRef>
          </c:val>
          <c:smooth val="0"/>
          <c:extLst>
            <c:ext xmlns:c16="http://schemas.microsoft.com/office/drawing/2014/chart" uri="{C3380CC4-5D6E-409C-BE32-E72D297353CC}">
              <c16:uniqueId val="{00000000-9381-4A4E-BB43-DCD8EC2F4E00}"/>
            </c:ext>
          </c:extLst>
        </c:ser>
        <c:ser>
          <c:idx val="4"/>
          <c:order val="3"/>
          <c:tx>
            <c:strRef>
              <c:f>Projections!$A$48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Projections!$P$48:$BN$48</c15:sqref>
                  </c15:fullRef>
                </c:ext>
              </c:extLst>
              <c:f>(Projections!$P$48:$BE$48,Projections!$BG$48:$BJ$48)</c:f>
              <c:numCache>
                <c:formatCode>#,##0_ ;[Red]\-#,##0\ </c:formatCode>
                <c:ptCount val="46"/>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145109.47308068068</c:v>
                </c:pt>
                <c:pt idx="18">
                  <c:v>494187.45860461192</c:v>
                </c:pt>
                <c:pt idx="19">
                  <c:v>18825.06859651854</c:v>
                </c:pt>
                <c:pt idx="20">
                  <c:v>0</c:v>
                </c:pt>
                <c:pt idx="21">
                  <c:v>176508.27192375745</c:v>
                </c:pt>
                <c:pt idx="22">
                  <c:v>73776.725473029539</c:v>
                </c:pt>
                <c:pt idx="23">
                  <c:v>6025655.3985738494</c:v>
                </c:pt>
                <c:pt idx="24">
                  <c:v>1857716.4099828294</c:v>
                </c:pt>
                <c:pt idx="25">
                  <c:v>1858588.8928418502</c:v>
                </c:pt>
                <c:pt idx="26">
                  <c:v>1478743.4497413433</c:v>
                </c:pt>
                <c:pt idx="27">
                  <c:v>1249184.4246824665</c:v>
                </c:pt>
                <c:pt idx="28">
                  <c:v>1097438.084766625</c:v>
                </c:pt>
                <c:pt idx="29">
                  <c:v>1093970.258701721</c:v>
                </c:pt>
                <c:pt idx="30">
                  <c:v>1085805.8864416201</c:v>
                </c:pt>
                <c:pt idx="31">
                  <c:v>1075932.697492369</c:v>
                </c:pt>
                <c:pt idx="32">
                  <c:v>1065729.7155553559</c:v>
                </c:pt>
                <c:pt idx="33">
                  <c:v>1055832.0780595159</c:v>
                </c:pt>
                <c:pt idx="34">
                  <c:v>1153108.7742466144</c:v>
                </c:pt>
                <c:pt idx="35">
                  <c:v>1231823.917775874</c:v>
                </c:pt>
                <c:pt idx="36">
                  <c:v>1296470.2684726315</c:v>
                </c:pt>
                <c:pt idx="37">
                  <c:v>1350280.1954225367</c:v>
                </c:pt>
                <c:pt idx="38">
                  <c:v>1395616.6349396892</c:v>
                </c:pt>
                <c:pt idx="39">
                  <c:v>1578321.277510317</c:v>
                </c:pt>
                <c:pt idx="40">
                  <c:v>1738113.8506870745</c:v>
                </c:pt>
                <c:pt idx="41">
                  <c:v>1878738.3436075896</c:v>
                </c:pt>
                <c:pt idx="42">
                  <c:v>2114123.232171258</c:v>
                </c:pt>
                <c:pt idx="43">
                  <c:v>2433717.3556144424</c:v>
                </c:pt>
                <c:pt idx="44">
                  <c:v>2723660.0415274631</c:v>
                </c:pt>
                <c:pt idx="45">
                  <c:v>2987460.9182021841</c:v>
                </c:pt>
              </c:numCache>
            </c:numRef>
          </c:val>
          <c:smooth val="0"/>
          <c:extLst>
            <c:ext xmlns:c16="http://schemas.microsoft.com/office/drawing/2014/chart" uri="{C3380CC4-5D6E-409C-BE32-E72D297353CC}">
              <c16:uniqueId val="{00000003-9381-4A4E-BB43-DCD8EC2F4E00}"/>
            </c:ext>
          </c:extLst>
        </c:ser>
        <c:ser>
          <c:idx val="1"/>
          <c:order val="4"/>
          <c:tx>
            <c:strRef>
              <c:f>Projections!$A$49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Projections!$P$49:$BN$49</c15:sqref>
                  </c15:fullRef>
                </c:ext>
              </c:extLst>
              <c:f>(Projections!$P$49:$BE$49,Projections!$BG$49:$BJ$49)</c:f>
              <c:numCache>
                <c:formatCode>#,##0_ ;[Red]\-#,##0\ </c:formatCode>
                <c:ptCount val="46"/>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73728</c:v>
                </c:pt>
                <c:pt idx="19">
                  <c:v>86016</c:v>
                </c:pt>
                <c:pt idx="20">
                  <c:v>98304</c:v>
                </c:pt>
                <c:pt idx="21">
                  <c:v>110592</c:v>
                </c:pt>
                <c:pt idx="22">
                  <c:v>122880</c:v>
                </c:pt>
                <c:pt idx="23">
                  <c:v>147456</c:v>
                </c:pt>
                <c:pt idx="24">
                  <c:v>172032</c:v>
                </c:pt>
                <c:pt idx="25">
                  <c:v>196608</c:v>
                </c:pt>
                <c:pt idx="26">
                  <c:v>221184</c:v>
                </c:pt>
                <c:pt idx="27">
                  <c:v>245760</c:v>
                </c:pt>
                <c:pt idx="28">
                  <c:v>294912</c:v>
                </c:pt>
                <c:pt idx="29">
                  <c:v>344064</c:v>
                </c:pt>
                <c:pt idx="30">
                  <c:v>393216</c:v>
                </c:pt>
                <c:pt idx="31">
                  <c:v>442368</c:v>
                </c:pt>
                <c:pt idx="32">
                  <c:v>491520</c:v>
                </c:pt>
                <c:pt idx="33">
                  <c:v>589824</c:v>
                </c:pt>
                <c:pt idx="34">
                  <c:v>688128</c:v>
                </c:pt>
                <c:pt idx="35">
                  <c:v>786432</c:v>
                </c:pt>
                <c:pt idx="36">
                  <c:v>884736</c:v>
                </c:pt>
                <c:pt idx="37">
                  <c:v>983040</c:v>
                </c:pt>
                <c:pt idx="38">
                  <c:v>1179648</c:v>
                </c:pt>
                <c:pt idx="39">
                  <c:v>1376256</c:v>
                </c:pt>
                <c:pt idx="40">
                  <c:v>1572864</c:v>
                </c:pt>
                <c:pt idx="41">
                  <c:v>1769472</c:v>
                </c:pt>
                <c:pt idx="42">
                  <c:v>2359296</c:v>
                </c:pt>
                <c:pt idx="43">
                  <c:v>2752512</c:v>
                </c:pt>
                <c:pt idx="44">
                  <c:v>3145728</c:v>
                </c:pt>
                <c:pt idx="45">
                  <c:v>3538944</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Projections!$A$66</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Projections!$P$66:$BN$66</c15:sqref>
                  </c15:fullRef>
                </c:ext>
              </c:extLst>
              <c:f>(Projections!$P$66:$BE$66,Projections!$BG$66:$BJ$66)</c:f>
              <c:numCache>
                <c:formatCode>#,##0</c:formatCode>
                <c:ptCount val="46"/>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49152</c:v>
                </c:pt>
                <c:pt idx="19">
                  <c:v>57344</c:v>
                </c:pt>
                <c:pt idx="20">
                  <c:v>65536</c:v>
                </c:pt>
                <c:pt idx="21">
                  <c:v>73728</c:v>
                </c:pt>
                <c:pt idx="22">
                  <c:v>81920</c:v>
                </c:pt>
                <c:pt idx="23">
                  <c:v>98304</c:v>
                </c:pt>
                <c:pt idx="24">
                  <c:v>114688</c:v>
                </c:pt>
                <c:pt idx="25">
                  <c:v>131072</c:v>
                </c:pt>
                <c:pt idx="26">
                  <c:v>147456</c:v>
                </c:pt>
                <c:pt idx="27">
                  <c:v>163840</c:v>
                </c:pt>
                <c:pt idx="28">
                  <c:v>196608</c:v>
                </c:pt>
                <c:pt idx="29">
                  <c:v>229376</c:v>
                </c:pt>
                <c:pt idx="30">
                  <c:v>262144</c:v>
                </c:pt>
                <c:pt idx="31">
                  <c:v>294912</c:v>
                </c:pt>
                <c:pt idx="32">
                  <c:v>327680</c:v>
                </c:pt>
                <c:pt idx="33">
                  <c:v>393216</c:v>
                </c:pt>
                <c:pt idx="34">
                  <c:v>458752</c:v>
                </c:pt>
                <c:pt idx="35">
                  <c:v>524288</c:v>
                </c:pt>
                <c:pt idx="36">
                  <c:v>589824</c:v>
                </c:pt>
                <c:pt idx="37">
                  <c:v>655360</c:v>
                </c:pt>
                <c:pt idx="38">
                  <c:v>786432</c:v>
                </c:pt>
                <c:pt idx="39">
                  <c:v>917504</c:v>
                </c:pt>
                <c:pt idx="40">
                  <c:v>1048576</c:v>
                </c:pt>
                <c:pt idx="41">
                  <c:v>1179648</c:v>
                </c:pt>
                <c:pt idx="42">
                  <c:v>1572864</c:v>
                </c:pt>
                <c:pt idx="43">
                  <c:v>1835008</c:v>
                </c:pt>
                <c:pt idx="44">
                  <c:v>2097152</c:v>
                </c:pt>
                <c:pt idx="45">
                  <c:v>2359296</c:v>
                </c:pt>
              </c:numCache>
            </c:numRef>
          </c:val>
          <c:smooth val="0"/>
          <c:extLst>
            <c:ext xmlns:c16="http://schemas.microsoft.com/office/drawing/2014/chart" uri="{C3380CC4-5D6E-409C-BE32-E72D297353CC}">
              <c16:uniqueId val="{00000000-04B6-450D-AD81-6BF382C059D1}"/>
            </c:ext>
          </c:extLst>
        </c:ser>
        <c:ser>
          <c:idx val="2"/>
          <c:order val="1"/>
          <c:tx>
            <c:strRef>
              <c:f>Projections!$A$68</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Projections!$P$68:$BN$68</c15:sqref>
                  </c15:fullRef>
                </c:ext>
              </c:extLst>
              <c:f>(Projections!$P$68:$BE$68,Projections!$BG$68:$BJ$68)</c:f>
              <c:numCache>
                <c:formatCode>#,##0</c:formatCode>
                <c:ptCount val="46"/>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142540.80000000002</c:v>
                </c:pt>
                <c:pt idx="19">
                  <c:v>166297.60000000001</c:v>
                </c:pt>
                <c:pt idx="20">
                  <c:v>190054.40000000002</c:v>
                </c:pt>
                <c:pt idx="21">
                  <c:v>213811.20000000001</c:v>
                </c:pt>
                <c:pt idx="22">
                  <c:v>237568</c:v>
                </c:pt>
                <c:pt idx="23">
                  <c:v>285081.60000000003</c:v>
                </c:pt>
                <c:pt idx="24">
                  <c:v>332595.20000000001</c:v>
                </c:pt>
                <c:pt idx="25">
                  <c:v>380108.80000000005</c:v>
                </c:pt>
                <c:pt idx="26">
                  <c:v>427622.40000000002</c:v>
                </c:pt>
                <c:pt idx="27">
                  <c:v>475136</c:v>
                </c:pt>
                <c:pt idx="28">
                  <c:v>570163.20000000007</c:v>
                </c:pt>
                <c:pt idx="29">
                  <c:v>665190.40000000002</c:v>
                </c:pt>
                <c:pt idx="30">
                  <c:v>760217.60000000009</c:v>
                </c:pt>
                <c:pt idx="31">
                  <c:v>855244.80000000005</c:v>
                </c:pt>
                <c:pt idx="32">
                  <c:v>950272</c:v>
                </c:pt>
                <c:pt idx="33">
                  <c:v>1140326.4000000001</c:v>
                </c:pt>
                <c:pt idx="34">
                  <c:v>1330380.8</c:v>
                </c:pt>
                <c:pt idx="35">
                  <c:v>1520435.2000000002</c:v>
                </c:pt>
                <c:pt idx="36">
                  <c:v>1710489.6000000001</c:v>
                </c:pt>
                <c:pt idx="37">
                  <c:v>1900544</c:v>
                </c:pt>
                <c:pt idx="38">
                  <c:v>2280652.8000000003</c:v>
                </c:pt>
                <c:pt idx="39">
                  <c:v>2660761.6000000001</c:v>
                </c:pt>
                <c:pt idx="40">
                  <c:v>3040870.4000000004</c:v>
                </c:pt>
                <c:pt idx="41">
                  <c:v>3420979.2000000002</c:v>
                </c:pt>
                <c:pt idx="42">
                  <c:v>4561305.6000000006</c:v>
                </c:pt>
                <c:pt idx="43">
                  <c:v>5321523.2000000002</c:v>
                </c:pt>
                <c:pt idx="44">
                  <c:v>6081740.8000000007</c:v>
                </c:pt>
                <c:pt idx="45">
                  <c:v>6841958.4000000004</c:v>
                </c:pt>
              </c:numCache>
            </c:numRef>
          </c:val>
          <c:smooth val="0"/>
          <c:extLst>
            <c:ext xmlns:c16="http://schemas.microsoft.com/office/drawing/2014/chart" uri="{C3380CC4-5D6E-409C-BE32-E72D297353CC}">
              <c16:uniqueId val="{00000002-04B6-450D-AD81-6BF382C059D1}"/>
            </c:ext>
          </c:extLst>
        </c:ser>
        <c:ser>
          <c:idx val="4"/>
          <c:order val="2"/>
          <c:tx>
            <c:strRef>
              <c:f>Projections!$A$70</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Projections!$P$70:$BN$70</c15:sqref>
                  </c15:fullRef>
                </c:ext>
              </c:extLst>
              <c:f>(Projections!$P$70:$BE$70,Projections!$BG$70:$BJ$70)</c:f>
              <c:numCache>
                <c:formatCode>#,##0</c:formatCode>
                <c:ptCount val="46"/>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594739.19999999995</c:v>
                </c:pt>
                <c:pt idx="19">
                  <c:v>693862.40000000002</c:v>
                </c:pt>
                <c:pt idx="20">
                  <c:v>792985.59999999998</c:v>
                </c:pt>
                <c:pt idx="21">
                  <c:v>892108.79999999993</c:v>
                </c:pt>
                <c:pt idx="22">
                  <c:v>991232</c:v>
                </c:pt>
                <c:pt idx="23">
                  <c:v>1189478.3999999999</c:v>
                </c:pt>
                <c:pt idx="24">
                  <c:v>1387724.8</c:v>
                </c:pt>
                <c:pt idx="25">
                  <c:v>1585971.2</c:v>
                </c:pt>
                <c:pt idx="26">
                  <c:v>1784217.5999999999</c:v>
                </c:pt>
                <c:pt idx="27">
                  <c:v>1982464</c:v>
                </c:pt>
                <c:pt idx="28">
                  <c:v>2378956.7999999998</c:v>
                </c:pt>
                <c:pt idx="29">
                  <c:v>2775449.6000000001</c:v>
                </c:pt>
                <c:pt idx="30">
                  <c:v>3171942.3999999999</c:v>
                </c:pt>
                <c:pt idx="31">
                  <c:v>3568435.1999999997</c:v>
                </c:pt>
                <c:pt idx="32">
                  <c:v>3964928</c:v>
                </c:pt>
                <c:pt idx="33">
                  <c:v>4757913.5999999996</c:v>
                </c:pt>
                <c:pt idx="34">
                  <c:v>5550899.2000000002</c:v>
                </c:pt>
                <c:pt idx="35">
                  <c:v>6343884.7999999998</c:v>
                </c:pt>
                <c:pt idx="36">
                  <c:v>7136870.3999999994</c:v>
                </c:pt>
                <c:pt idx="37">
                  <c:v>7929856</c:v>
                </c:pt>
                <c:pt idx="38">
                  <c:v>9515827.1999999993</c:v>
                </c:pt>
                <c:pt idx="39">
                  <c:v>11101798.4</c:v>
                </c:pt>
                <c:pt idx="40">
                  <c:v>12687769.6</c:v>
                </c:pt>
                <c:pt idx="41">
                  <c:v>14273740.799999999</c:v>
                </c:pt>
                <c:pt idx="42">
                  <c:v>19031654.399999999</c:v>
                </c:pt>
                <c:pt idx="43">
                  <c:v>22203596.800000001</c:v>
                </c:pt>
                <c:pt idx="44">
                  <c:v>25375539.199999999</c:v>
                </c:pt>
                <c:pt idx="45">
                  <c:v>28547481.599999998</c:v>
                </c:pt>
              </c:numCache>
            </c:numRef>
          </c:val>
          <c:smooth val="0"/>
          <c:extLst>
            <c:ext xmlns:c16="http://schemas.microsoft.com/office/drawing/2014/chart" uri="{C3380CC4-5D6E-409C-BE32-E72D297353CC}">
              <c16:uniqueId val="{00000004-04B6-450D-AD81-6BF382C059D1}"/>
            </c:ext>
          </c:extLst>
        </c:ser>
        <c:ser>
          <c:idx val="6"/>
          <c:order val="3"/>
          <c:tx>
            <c:strRef>
              <c:f>Projections!$A$72</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Projections!$P$72:$BN$72</c15:sqref>
                  </c15:fullRef>
                </c:ext>
              </c:extLst>
              <c:f>(Projections!$P$72:$BE$72,Projections!$BG$72:$BJ$72)</c:f>
              <c:numCache>
                <c:formatCode>#,##0</c:formatCode>
                <c:ptCount val="46"/>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781516.80000000005</c:v>
                </c:pt>
                <c:pt idx="19">
                  <c:v>911769.59999999998</c:v>
                </c:pt>
                <c:pt idx="20">
                  <c:v>1042022.4</c:v>
                </c:pt>
                <c:pt idx="21">
                  <c:v>1172275.2</c:v>
                </c:pt>
                <c:pt idx="22">
                  <c:v>1302528</c:v>
                </c:pt>
                <c:pt idx="23">
                  <c:v>1563033.6000000001</c:v>
                </c:pt>
                <c:pt idx="24">
                  <c:v>1823539.2</c:v>
                </c:pt>
                <c:pt idx="25">
                  <c:v>2084044.8</c:v>
                </c:pt>
                <c:pt idx="26">
                  <c:v>2344550.3999999999</c:v>
                </c:pt>
                <c:pt idx="27">
                  <c:v>2605056</c:v>
                </c:pt>
                <c:pt idx="28">
                  <c:v>3126067.2000000002</c:v>
                </c:pt>
                <c:pt idx="29">
                  <c:v>3647078.3999999999</c:v>
                </c:pt>
                <c:pt idx="30">
                  <c:v>4168089.6000000001</c:v>
                </c:pt>
                <c:pt idx="31">
                  <c:v>4689100.7999999998</c:v>
                </c:pt>
                <c:pt idx="32">
                  <c:v>5210112</c:v>
                </c:pt>
                <c:pt idx="33">
                  <c:v>6252134.4000000004</c:v>
                </c:pt>
                <c:pt idx="34">
                  <c:v>7294156.7999999998</c:v>
                </c:pt>
                <c:pt idx="35">
                  <c:v>8336179.2000000002</c:v>
                </c:pt>
                <c:pt idx="36">
                  <c:v>9378201.5999999996</c:v>
                </c:pt>
                <c:pt idx="37">
                  <c:v>10420224</c:v>
                </c:pt>
                <c:pt idx="38">
                  <c:v>12504268.800000001</c:v>
                </c:pt>
                <c:pt idx="39">
                  <c:v>14588313.6</c:v>
                </c:pt>
                <c:pt idx="40">
                  <c:v>16672358.4</c:v>
                </c:pt>
                <c:pt idx="41">
                  <c:v>18756403.199999999</c:v>
                </c:pt>
                <c:pt idx="42">
                  <c:v>25008537.600000001</c:v>
                </c:pt>
                <c:pt idx="43">
                  <c:v>29176627.199999999</c:v>
                </c:pt>
                <c:pt idx="44">
                  <c:v>33344716.800000001</c:v>
                </c:pt>
                <c:pt idx="45">
                  <c:v>37512806.399999999</c:v>
                </c:pt>
              </c:numCache>
            </c:numRef>
          </c:val>
          <c:smooth val="0"/>
          <c:extLst>
            <c:ext xmlns:c16="http://schemas.microsoft.com/office/drawing/2014/chart" uri="{C3380CC4-5D6E-409C-BE32-E72D297353CC}">
              <c16:uniqueId val="{00000006-04B6-450D-AD81-6BF382C059D1}"/>
            </c:ext>
          </c:extLst>
        </c:ser>
        <c:ser>
          <c:idx val="8"/>
          <c:order val="4"/>
          <c:tx>
            <c:strRef>
              <c:f>Projections!$A$74</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Projections!$P$74:$BN$74</c15:sqref>
                  </c15:fullRef>
                </c:ext>
              </c:extLst>
              <c:f>(Projections!$P$74:$BE$74,Projections!$BG$74:$BJ$74)</c:f>
              <c:numCache>
                <c:formatCode>#,##0</c:formatCode>
                <c:ptCount val="46"/>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840499.20000000007</c:v>
                </c:pt>
                <c:pt idx="19">
                  <c:v>980582.40000000002</c:v>
                </c:pt>
                <c:pt idx="20">
                  <c:v>1120665.6000000001</c:v>
                </c:pt>
                <c:pt idx="21">
                  <c:v>1260748.8</c:v>
                </c:pt>
                <c:pt idx="22">
                  <c:v>1400832</c:v>
                </c:pt>
                <c:pt idx="23">
                  <c:v>1680998.4000000001</c:v>
                </c:pt>
                <c:pt idx="24">
                  <c:v>1961164.8</c:v>
                </c:pt>
                <c:pt idx="25">
                  <c:v>2241331.2000000002</c:v>
                </c:pt>
                <c:pt idx="26">
                  <c:v>2521497.6000000001</c:v>
                </c:pt>
                <c:pt idx="27">
                  <c:v>2801664</c:v>
                </c:pt>
                <c:pt idx="28">
                  <c:v>3361996.8000000003</c:v>
                </c:pt>
                <c:pt idx="29">
                  <c:v>3922329.6000000001</c:v>
                </c:pt>
                <c:pt idx="30">
                  <c:v>4482662.4000000004</c:v>
                </c:pt>
                <c:pt idx="31">
                  <c:v>5042995.2000000002</c:v>
                </c:pt>
                <c:pt idx="32">
                  <c:v>5603328</c:v>
                </c:pt>
                <c:pt idx="33">
                  <c:v>6723993.6000000006</c:v>
                </c:pt>
                <c:pt idx="34">
                  <c:v>7844659.2000000002</c:v>
                </c:pt>
                <c:pt idx="35">
                  <c:v>8965324.8000000007</c:v>
                </c:pt>
                <c:pt idx="36">
                  <c:v>10085990.4</c:v>
                </c:pt>
                <c:pt idx="37">
                  <c:v>11206656</c:v>
                </c:pt>
                <c:pt idx="38">
                  <c:v>13447987.200000001</c:v>
                </c:pt>
                <c:pt idx="39">
                  <c:v>15689318.4</c:v>
                </c:pt>
                <c:pt idx="40">
                  <c:v>17930649.600000001</c:v>
                </c:pt>
                <c:pt idx="41">
                  <c:v>20171980.800000001</c:v>
                </c:pt>
                <c:pt idx="42">
                  <c:v>26895974.400000002</c:v>
                </c:pt>
                <c:pt idx="43">
                  <c:v>31378636.800000001</c:v>
                </c:pt>
                <c:pt idx="44">
                  <c:v>35861299.200000003</c:v>
                </c:pt>
                <c:pt idx="45">
                  <c:v>40343961.600000001</c:v>
                </c:pt>
              </c:numCache>
            </c:numRef>
          </c:val>
          <c:smooth val="0"/>
          <c:extLst>
            <c:ext xmlns:c16="http://schemas.microsoft.com/office/drawing/2014/chart" uri="{C3380CC4-5D6E-409C-BE32-E72D297353CC}">
              <c16:uniqueId val="{00000008-04B6-450D-AD81-6BF382C059D1}"/>
            </c:ext>
          </c:extLst>
        </c:ser>
        <c:ser>
          <c:idx val="10"/>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Projections!$P$76:$BN$76</c15:sqref>
                  </c15:fullRef>
                </c:ext>
              </c:extLst>
              <c:f>(Projections!$P$76:$BE$76,Projections!$BG$76:$BJ$76)</c:f>
              <c:numCache>
                <c:formatCode>#,##0</c:formatCode>
                <c:ptCount val="46"/>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1076428.8</c:v>
                </c:pt>
                <c:pt idx="19">
                  <c:v>1255833.6000000001</c:v>
                </c:pt>
                <c:pt idx="20">
                  <c:v>1435238.3999999999</c:v>
                </c:pt>
                <c:pt idx="21">
                  <c:v>1614643.2</c:v>
                </c:pt>
                <c:pt idx="22">
                  <c:v>1794048</c:v>
                </c:pt>
                <c:pt idx="23">
                  <c:v>2152857.6000000001</c:v>
                </c:pt>
                <c:pt idx="24">
                  <c:v>2511667.2000000002</c:v>
                </c:pt>
                <c:pt idx="25">
                  <c:v>2870476.7999999998</c:v>
                </c:pt>
                <c:pt idx="26">
                  <c:v>3229286.3999999999</c:v>
                </c:pt>
                <c:pt idx="27">
                  <c:v>3588096</c:v>
                </c:pt>
                <c:pt idx="28">
                  <c:v>4305715.2000000002</c:v>
                </c:pt>
                <c:pt idx="29">
                  <c:v>5023334.4000000004</c:v>
                </c:pt>
                <c:pt idx="30">
                  <c:v>5740953.5999999996</c:v>
                </c:pt>
                <c:pt idx="31">
                  <c:v>6458572.7999999998</c:v>
                </c:pt>
                <c:pt idx="32">
                  <c:v>7176192</c:v>
                </c:pt>
                <c:pt idx="33">
                  <c:v>8611430.4000000004</c:v>
                </c:pt>
                <c:pt idx="34">
                  <c:v>10046668.800000001</c:v>
                </c:pt>
                <c:pt idx="35">
                  <c:v>11481907.199999999</c:v>
                </c:pt>
                <c:pt idx="36">
                  <c:v>12917145.6</c:v>
                </c:pt>
                <c:pt idx="37">
                  <c:v>14352384</c:v>
                </c:pt>
                <c:pt idx="38">
                  <c:v>17222860.800000001</c:v>
                </c:pt>
                <c:pt idx="39">
                  <c:v>20093337.600000001</c:v>
                </c:pt>
                <c:pt idx="40">
                  <c:v>22963814.399999999</c:v>
                </c:pt>
                <c:pt idx="41">
                  <c:v>25834291.199999999</c:v>
                </c:pt>
                <c:pt idx="42">
                  <c:v>34445721.600000001</c:v>
                </c:pt>
                <c:pt idx="43">
                  <c:v>40186675.200000003</c:v>
                </c:pt>
                <c:pt idx="44">
                  <c:v>45927628.799999997</c:v>
                </c:pt>
                <c:pt idx="45">
                  <c:v>51668582.399999999</c:v>
                </c:pt>
              </c:numCache>
            </c:numRef>
          </c:val>
          <c:smooth val="0"/>
          <c:extLst>
            <c:ext xmlns:c16="http://schemas.microsoft.com/office/drawing/2014/chart" uri="{C3380CC4-5D6E-409C-BE32-E72D297353CC}">
              <c16:uniqueId val="{0000000A-04B6-450D-AD81-6BF382C059D1}"/>
            </c:ext>
          </c:extLst>
        </c:ser>
        <c:ser>
          <c:idx val="12"/>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Projections!$P$78:$BN$78</c15:sqref>
                  </c15:fullRef>
                </c:ext>
              </c:extLst>
              <c:f>(Projections!$P$78:$BE$78,Projections!$BG$78:$BJ$78)</c:f>
              <c:numCache>
                <c:formatCode>#,##0</c:formatCode>
                <c:ptCount val="46"/>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1140326.4000000001</c:v>
                </c:pt>
                <c:pt idx="19">
                  <c:v>1330380.8</c:v>
                </c:pt>
                <c:pt idx="20">
                  <c:v>1520435.2000000002</c:v>
                </c:pt>
                <c:pt idx="21">
                  <c:v>1710489.6000000001</c:v>
                </c:pt>
                <c:pt idx="22">
                  <c:v>1900544</c:v>
                </c:pt>
                <c:pt idx="23">
                  <c:v>2280652.8000000003</c:v>
                </c:pt>
                <c:pt idx="24">
                  <c:v>2660761.6000000001</c:v>
                </c:pt>
                <c:pt idx="25">
                  <c:v>3040870.4000000004</c:v>
                </c:pt>
                <c:pt idx="26">
                  <c:v>3420979.2000000002</c:v>
                </c:pt>
                <c:pt idx="27">
                  <c:v>3801088</c:v>
                </c:pt>
                <c:pt idx="28">
                  <c:v>4561305.6000000006</c:v>
                </c:pt>
                <c:pt idx="29">
                  <c:v>5321523.2000000002</c:v>
                </c:pt>
                <c:pt idx="30">
                  <c:v>6081740.8000000007</c:v>
                </c:pt>
                <c:pt idx="31">
                  <c:v>6841958.4000000004</c:v>
                </c:pt>
                <c:pt idx="32">
                  <c:v>7602176</c:v>
                </c:pt>
                <c:pt idx="33">
                  <c:v>9122611.2000000011</c:v>
                </c:pt>
                <c:pt idx="34">
                  <c:v>10643046.4</c:v>
                </c:pt>
                <c:pt idx="35">
                  <c:v>12163481.600000001</c:v>
                </c:pt>
                <c:pt idx="36">
                  <c:v>13683916.800000001</c:v>
                </c:pt>
                <c:pt idx="37">
                  <c:v>15204352</c:v>
                </c:pt>
                <c:pt idx="38">
                  <c:v>18245222.400000002</c:v>
                </c:pt>
                <c:pt idx="39">
                  <c:v>21286092.800000001</c:v>
                </c:pt>
                <c:pt idx="40">
                  <c:v>24326963.200000003</c:v>
                </c:pt>
                <c:pt idx="41">
                  <c:v>27367833.600000001</c:v>
                </c:pt>
                <c:pt idx="42">
                  <c:v>36490444.800000004</c:v>
                </c:pt>
                <c:pt idx="43">
                  <c:v>42572185.600000001</c:v>
                </c:pt>
                <c:pt idx="44">
                  <c:v>48653926.400000006</c:v>
                </c:pt>
                <c:pt idx="45">
                  <c:v>54735667.200000003</c:v>
                </c:pt>
              </c:numCache>
            </c:numRef>
          </c:val>
          <c:smooth val="0"/>
          <c:extLst>
            <c:ext xmlns:c16="http://schemas.microsoft.com/office/drawing/2014/chart" uri="{C3380CC4-5D6E-409C-BE32-E72D297353CC}">
              <c16:uniqueId val="{0000000C-04B6-450D-AD81-6BF382C059D1}"/>
            </c:ext>
          </c:extLst>
        </c:ser>
        <c:ser>
          <c:idx val="14"/>
          <c:order val="7"/>
          <c:tx>
            <c:strRef>
              <c:f>Projections!$A$80</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Projections!$P$80:$BN$80</c15:sqref>
                  </c15:fullRef>
                </c:ext>
              </c:extLst>
              <c:f>(Projections!$P$80:$BE$80,Projections!$BG$80:$BJ$80)</c:f>
              <c:numCache>
                <c:formatCode>#,##0</c:formatCode>
                <c:ptCount val="46"/>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186777.60000000001</c:v>
                </c:pt>
                <c:pt idx="19">
                  <c:v>217907.19999999998</c:v>
                </c:pt>
                <c:pt idx="20">
                  <c:v>249036.79999999999</c:v>
                </c:pt>
                <c:pt idx="21">
                  <c:v>280166.39999999997</c:v>
                </c:pt>
                <c:pt idx="22">
                  <c:v>311296</c:v>
                </c:pt>
                <c:pt idx="23">
                  <c:v>373555.20000000001</c:v>
                </c:pt>
                <c:pt idx="24">
                  <c:v>435814.39999999997</c:v>
                </c:pt>
                <c:pt idx="25">
                  <c:v>498073.59999999998</c:v>
                </c:pt>
                <c:pt idx="26">
                  <c:v>560332.79999999993</c:v>
                </c:pt>
                <c:pt idx="27">
                  <c:v>622592</c:v>
                </c:pt>
                <c:pt idx="28">
                  <c:v>747110.40000000002</c:v>
                </c:pt>
                <c:pt idx="29">
                  <c:v>871628.79999999993</c:v>
                </c:pt>
                <c:pt idx="30">
                  <c:v>996147.19999999995</c:v>
                </c:pt>
                <c:pt idx="31">
                  <c:v>1120665.5999999999</c:v>
                </c:pt>
                <c:pt idx="32">
                  <c:v>1245184</c:v>
                </c:pt>
                <c:pt idx="33">
                  <c:v>1494220.8</c:v>
                </c:pt>
                <c:pt idx="34">
                  <c:v>1743257.5999999999</c:v>
                </c:pt>
                <c:pt idx="35">
                  <c:v>1992294.3999999999</c:v>
                </c:pt>
                <c:pt idx="36">
                  <c:v>2241331.1999999997</c:v>
                </c:pt>
                <c:pt idx="37">
                  <c:v>2490368</c:v>
                </c:pt>
                <c:pt idx="38">
                  <c:v>2988441.6000000001</c:v>
                </c:pt>
                <c:pt idx="39">
                  <c:v>3486515.1999999997</c:v>
                </c:pt>
                <c:pt idx="40">
                  <c:v>3984588.7999999998</c:v>
                </c:pt>
                <c:pt idx="41">
                  <c:v>4482662.3999999994</c:v>
                </c:pt>
                <c:pt idx="42">
                  <c:v>5976883.2000000002</c:v>
                </c:pt>
                <c:pt idx="43">
                  <c:v>6973030.3999999994</c:v>
                </c:pt>
                <c:pt idx="44">
                  <c:v>7969177.5999999996</c:v>
                </c:pt>
                <c:pt idx="45">
                  <c:v>8965324.7999999989</c:v>
                </c:pt>
              </c:numCache>
            </c:numRef>
          </c:val>
          <c:smooth val="0"/>
          <c:extLst>
            <c:ext xmlns:c16="http://schemas.microsoft.com/office/drawing/2014/chart" uri="{C3380CC4-5D6E-409C-BE32-E72D297353CC}">
              <c16:uniqueId val="{0000000E-04B6-450D-AD81-6BF382C059D1}"/>
            </c:ext>
          </c:extLst>
        </c:ser>
        <c:ser>
          <c:idx val="16"/>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Projections!$P$82:$BN$82</c15:sqref>
                  </c15:fullRef>
                </c:ext>
              </c:extLst>
              <c:f>(Projections!$P$82:$BE$82,Projections!$BG$82:$BJ$82)</c:f>
              <c:numCache>
                <c:formatCode>#,##0</c:formatCode>
                <c:ptCount val="46"/>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103219.20000000001</c:v>
                </c:pt>
                <c:pt idx="19">
                  <c:v>120422.40000000001</c:v>
                </c:pt>
                <c:pt idx="20">
                  <c:v>137625.60000000001</c:v>
                </c:pt>
                <c:pt idx="21">
                  <c:v>154828.80000000002</c:v>
                </c:pt>
                <c:pt idx="22">
                  <c:v>172032</c:v>
                </c:pt>
                <c:pt idx="23">
                  <c:v>206438.40000000002</c:v>
                </c:pt>
                <c:pt idx="24">
                  <c:v>240844.80000000002</c:v>
                </c:pt>
                <c:pt idx="25">
                  <c:v>275251.20000000001</c:v>
                </c:pt>
                <c:pt idx="26">
                  <c:v>309657.60000000003</c:v>
                </c:pt>
                <c:pt idx="27">
                  <c:v>344064</c:v>
                </c:pt>
                <c:pt idx="28">
                  <c:v>412876.80000000005</c:v>
                </c:pt>
                <c:pt idx="29">
                  <c:v>481689.60000000003</c:v>
                </c:pt>
                <c:pt idx="30">
                  <c:v>550502.40000000002</c:v>
                </c:pt>
                <c:pt idx="31">
                  <c:v>619315.20000000007</c:v>
                </c:pt>
                <c:pt idx="32">
                  <c:v>688128</c:v>
                </c:pt>
                <c:pt idx="33">
                  <c:v>825753.60000000009</c:v>
                </c:pt>
                <c:pt idx="34">
                  <c:v>963379.20000000007</c:v>
                </c:pt>
                <c:pt idx="35">
                  <c:v>1101004.8</c:v>
                </c:pt>
                <c:pt idx="36">
                  <c:v>1238630.4000000001</c:v>
                </c:pt>
                <c:pt idx="37">
                  <c:v>1376256</c:v>
                </c:pt>
                <c:pt idx="38">
                  <c:v>1651507.2000000002</c:v>
                </c:pt>
                <c:pt idx="39">
                  <c:v>1926758.4000000001</c:v>
                </c:pt>
                <c:pt idx="40">
                  <c:v>2202009.6000000001</c:v>
                </c:pt>
                <c:pt idx="41">
                  <c:v>2477260.8000000003</c:v>
                </c:pt>
                <c:pt idx="42">
                  <c:v>3303014.4000000004</c:v>
                </c:pt>
                <c:pt idx="43">
                  <c:v>3853516.8000000003</c:v>
                </c:pt>
                <c:pt idx="44">
                  <c:v>4404019.2000000002</c:v>
                </c:pt>
                <c:pt idx="45">
                  <c:v>4954521.6000000006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Projections!$A$66</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Projections!$P$67:$BN$67</c15:sqref>
                  </c15:fullRef>
                </c:ext>
              </c:extLst>
              <c:f>(Projections!$P$67:$BE$67,Projections!$BG$67:$BJ$67)</c:f>
              <c:numCache>
                <c:formatCode>#,##0</c:formatCode>
                <c:ptCount val="46"/>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7274.4959999999992</c:v>
                </c:pt>
                <c:pt idx="19">
                  <c:v>8486.9120000000003</c:v>
                </c:pt>
                <c:pt idx="20">
                  <c:v>9699.3279999999995</c:v>
                </c:pt>
                <c:pt idx="21">
                  <c:v>10911.743999999999</c:v>
                </c:pt>
                <c:pt idx="22">
                  <c:v>12124.16</c:v>
                </c:pt>
                <c:pt idx="23">
                  <c:v>14548.991999999998</c:v>
                </c:pt>
                <c:pt idx="24">
                  <c:v>16973.824000000001</c:v>
                </c:pt>
                <c:pt idx="25">
                  <c:v>19398.655999999999</c:v>
                </c:pt>
                <c:pt idx="26">
                  <c:v>21823.487999999998</c:v>
                </c:pt>
                <c:pt idx="27">
                  <c:v>24248.32</c:v>
                </c:pt>
                <c:pt idx="28">
                  <c:v>29097.983999999997</c:v>
                </c:pt>
                <c:pt idx="29">
                  <c:v>33947.648000000001</c:v>
                </c:pt>
                <c:pt idx="30">
                  <c:v>38797.311999999998</c:v>
                </c:pt>
                <c:pt idx="31">
                  <c:v>43646.975999999995</c:v>
                </c:pt>
                <c:pt idx="32">
                  <c:v>48496.639999999999</c:v>
                </c:pt>
                <c:pt idx="33">
                  <c:v>58195.967999999993</c:v>
                </c:pt>
                <c:pt idx="34">
                  <c:v>67895.296000000002</c:v>
                </c:pt>
                <c:pt idx="35">
                  <c:v>77594.623999999996</c:v>
                </c:pt>
                <c:pt idx="36">
                  <c:v>87293.95199999999</c:v>
                </c:pt>
                <c:pt idx="37">
                  <c:v>96993.279999999999</c:v>
                </c:pt>
                <c:pt idx="38">
                  <c:v>116391.93599999999</c:v>
                </c:pt>
                <c:pt idx="39">
                  <c:v>135790.592</c:v>
                </c:pt>
                <c:pt idx="40">
                  <c:v>155189.24799999999</c:v>
                </c:pt>
                <c:pt idx="41">
                  <c:v>174587.90399999998</c:v>
                </c:pt>
                <c:pt idx="42">
                  <c:v>232783.87199999997</c:v>
                </c:pt>
                <c:pt idx="43">
                  <c:v>271581.18400000001</c:v>
                </c:pt>
                <c:pt idx="44">
                  <c:v>310378.49599999998</c:v>
                </c:pt>
                <c:pt idx="45">
                  <c:v>349175.80799999996</c:v>
                </c:pt>
              </c:numCache>
            </c:numRef>
          </c:val>
          <c:smooth val="0"/>
          <c:extLst>
            <c:ext xmlns:c16="http://schemas.microsoft.com/office/drawing/2014/chart" uri="{C3380CC4-5D6E-409C-BE32-E72D297353CC}">
              <c16:uniqueId val="{00000001-EBAD-48A5-9277-83F388186C0C}"/>
            </c:ext>
          </c:extLst>
        </c:ser>
        <c:ser>
          <c:idx val="3"/>
          <c:order val="1"/>
          <c:tx>
            <c:strRef>
              <c:f>Projections!$A$68</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Projections!$P$69:$BN$69</c15:sqref>
                  </c15:fullRef>
                </c:ext>
              </c:extLst>
              <c:f>(Projections!$P$69:$BE$69,Projections!$BG$69:$BJ$69)</c:f>
              <c:numCache>
                <c:formatCode>#,##0</c:formatCode>
                <c:ptCount val="46"/>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11403.264000000001</c:v>
                </c:pt>
                <c:pt idx="19">
                  <c:v>13303.808000000001</c:v>
                </c:pt>
                <c:pt idx="20">
                  <c:v>15204.352000000003</c:v>
                </c:pt>
                <c:pt idx="21">
                  <c:v>17104.896000000001</c:v>
                </c:pt>
                <c:pt idx="22">
                  <c:v>19005.439999999999</c:v>
                </c:pt>
                <c:pt idx="23">
                  <c:v>22806.528000000002</c:v>
                </c:pt>
                <c:pt idx="24">
                  <c:v>26607.616000000002</c:v>
                </c:pt>
                <c:pt idx="25">
                  <c:v>30408.704000000005</c:v>
                </c:pt>
                <c:pt idx="26">
                  <c:v>34209.792000000001</c:v>
                </c:pt>
                <c:pt idx="27">
                  <c:v>38010.879999999997</c:v>
                </c:pt>
                <c:pt idx="28">
                  <c:v>45613.056000000004</c:v>
                </c:pt>
                <c:pt idx="29">
                  <c:v>53215.232000000004</c:v>
                </c:pt>
                <c:pt idx="30">
                  <c:v>60817.40800000001</c:v>
                </c:pt>
                <c:pt idx="31">
                  <c:v>68419.584000000003</c:v>
                </c:pt>
                <c:pt idx="32">
                  <c:v>76021.759999999995</c:v>
                </c:pt>
                <c:pt idx="33">
                  <c:v>91226.112000000008</c:v>
                </c:pt>
                <c:pt idx="34">
                  <c:v>106430.46400000001</c:v>
                </c:pt>
                <c:pt idx="35">
                  <c:v>121634.81600000002</c:v>
                </c:pt>
                <c:pt idx="36">
                  <c:v>136839.16800000001</c:v>
                </c:pt>
                <c:pt idx="37">
                  <c:v>152043.51999999999</c:v>
                </c:pt>
                <c:pt idx="38">
                  <c:v>182452.22400000002</c:v>
                </c:pt>
                <c:pt idx="39">
                  <c:v>212860.92800000001</c:v>
                </c:pt>
                <c:pt idx="40">
                  <c:v>243269.63200000004</c:v>
                </c:pt>
                <c:pt idx="41">
                  <c:v>273678.33600000001</c:v>
                </c:pt>
                <c:pt idx="42">
                  <c:v>364904.44800000003</c:v>
                </c:pt>
                <c:pt idx="43">
                  <c:v>425721.85600000003</c:v>
                </c:pt>
                <c:pt idx="44">
                  <c:v>486539.26400000008</c:v>
                </c:pt>
                <c:pt idx="45">
                  <c:v>547356.67200000002</c:v>
                </c:pt>
              </c:numCache>
            </c:numRef>
          </c:val>
          <c:smooth val="0"/>
          <c:extLst>
            <c:ext xmlns:c16="http://schemas.microsoft.com/office/drawing/2014/chart" uri="{C3380CC4-5D6E-409C-BE32-E72D297353CC}">
              <c16:uniqueId val="{00000003-EBAD-48A5-9277-83F388186C0C}"/>
            </c:ext>
          </c:extLst>
        </c:ser>
        <c:ser>
          <c:idx val="5"/>
          <c:order val="2"/>
          <c:tx>
            <c:strRef>
              <c:f>Projections!$A$70</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Projections!$P$71:$BN$71</c15:sqref>
                  </c15:fullRef>
                </c:ext>
              </c:extLst>
              <c:f>(Projections!$P$71:$BE$71,Projections!$BG$71:$BJ$71)</c:f>
              <c:numCache>
                <c:formatCode>#,##0</c:formatCode>
                <c:ptCount val="46"/>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21410.611199999996</c:v>
                </c:pt>
                <c:pt idx="19">
                  <c:v>24979.046399999999</c:v>
                </c:pt>
                <c:pt idx="20">
                  <c:v>28547.481599999996</c:v>
                </c:pt>
                <c:pt idx="21">
                  <c:v>32115.916799999995</c:v>
                </c:pt>
                <c:pt idx="22">
                  <c:v>35684.351999999999</c:v>
                </c:pt>
                <c:pt idx="23">
                  <c:v>42821.222399999991</c:v>
                </c:pt>
                <c:pt idx="24">
                  <c:v>49958.092799999999</c:v>
                </c:pt>
                <c:pt idx="25">
                  <c:v>57094.963199999991</c:v>
                </c:pt>
                <c:pt idx="26">
                  <c:v>64231.833599999991</c:v>
                </c:pt>
                <c:pt idx="27">
                  <c:v>71368.703999999998</c:v>
                </c:pt>
                <c:pt idx="28">
                  <c:v>85642.444799999983</c:v>
                </c:pt>
                <c:pt idx="29">
                  <c:v>99916.185599999997</c:v>
                </c:pt>
                <c:pt idx="30">
                  <c:v>114189.92639999998</c:v>
                </c:pt>
                <c:pt idx="31">
                  <c:v>128463.66719999998</c:v>
                </c:pt>
                <c:pt idx="32">
                  <c:v>142737.408</c:v>
                </c:pt>
                <c:pt idx="33">
                  <c:v>171284.88959999997</c:v>
                </c:pt>
                <c:pt idx="34">
                  <c:v>199832.37119999999</c:v>
                </c:pt>
                <c:pt idx="35">
                  <c:v>228379.85279999996</c:v>
                </c:pt>
                <c:pt idx="36">
                  <c:v>256927.33439999996</c:v>
                </c:pt>
                <c:pt idx="37">
                  <c:v>285474.81599999999</c:v>
                </c:pt>
                <c:pt idx="38">
                  <c:v>342569.77919999993</c:v>
                </c:pt>
                <c:pt idx="39">
                  <c:v>399664.74239999999</c:v>
                </c:pt>
                <c:pt idx="40">
                  <c:v>456759.70559999993</c:v>
                </c:pt>
                <c:pt idx="41">
                  <c:v>513854.66879999993</c:v>
                </c:pt>
                <c:pt idx="42">
                  <c:v>685139.55839999986</c:v>
                </c:pt>
                <c:pt idx="43">
                  <c:v>799329.48479999998</c:v>
                </c:pt>
                <c:pt idx="44">
                  <c:v>913519.41119999986</c:v>
                </c:pt>
                <c:pt idx="45">
                  <c:v>1027709.3375999999</c:v>
                </c:pt>
              </c:numCache>
            </c:numRef>
          </c:val>
          <c:smooth val="0"/>
          <c:extLst>
            <c:ext xmlns:c16="http://schemas.microsoft.com/office/drawing/2014/chart" uri="{C3380CC4-5D6E-409C-BE32-E72D297353CC}">
              <c16:uniqueId val="{00000005-EBAD-48A5-9277-83F388186C0C}"/>
            </c:ext>
          </c:extLst>
        </c:ser>
        <c:ser>
          <c:idx val="7"/>
          <c:order val="3"/>
          <c:tx>
            <c:strRef>
              <c:f>Projections!$A$72</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Projections!$P$73:$BN$73</c15:sqref>
                  </c15:fullRef>
                </c:ext>
              </c:extLst>
              <c:f>(Projections!$P$73:$BE$73,Projections!$BG$73:$BJ$73)</c:f>
              <c:numCache>
                <c:formatCode>#,##0</c:formatCode>
                <c:ptCount val="46"/>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10159.7184</c:v>
                </c:pt>
                <c:pt idx="19">
                  <c:v>11853.004799999999</c:v>
                </c:pt>
                <c:pt idx="20">
                  <c:v>13546.2912</c:v>
                </c:pt>
                <c:pt idx="21">
                  <c:v>15239.577599999999</c:v>
                </c:pt>
                <c:pt idx="22">
                  <c:v>16932.863999999998</c:v>
                </c:pt>
                <c:pt idx="23">
                  <c:v>20319.436799999999</c:v>
                </c:pt>
                <c:pt idx="24">
                  <c:v>23706.009599999998</c:v>
                </c:pt>
                <c:pt idx="25">
                  <c:v>27092.582399999999</c:v>
                </c:pt>
                <c:pt idx="26">
                  <c:v>30479.155199999997</c:v>
                </c:pt>
                <c:pt idx="27">
                  <c:v>33865.727999999996</c:v>
                </c:pt>
                <c:pt idx="28">
                  <c:v>40638.873599999999</c:v>
                </c:pt>
                <c:pt idx="29">
                  <c:v>47412.019199999995</c:v>
                </c:pt>
                <c:pt idx="30">
                  <c:v>54185.164799999999</c:v>
                </c:pt>
                <c:pt idx="31">
                  <c:v>60958.310399999995</c:v>
                </c:pt>
                <c:pt idx="32">
                  <c:v>67731.455999999991</c:v>
                </c:pt>
                <c:pt idx="33">
                  <c:v>81277.747199999998</c:v>
                </c:pt>
                <c:pt idx="34">
                  <c:v>94824.03839999999</c:v>
                </c:pt>
                <c:pt idx="35">
                  <c:v>108370.3296</c:v>
                </c:pt>
                <c:pt idx="36">
                  <c:v>121916.62079999999</c:v>
                </c:pt>
                <c:pt idx="37">
                  <c:v>135462.91199999998</c:v>
                </c:pt>
                <c:pt idx="38">
                  <c:v>162555.4944</c:v>
                </c:pt>
                <c:pt idx="39">
                  <c:v>189648.07679999998</c:v>
                </c:pt>
                <c:pt idx="40">
                  <c:v>216740.65919999999</c:v>
                </c:pt>
                <c:pt idx="41">
                  <c:v>243833.24159999998</c:v>
                </c:pt>
                <c:pt idx="42">
                  <c:v>325110.98879999999</c:v>
                </c:pt>
                <c:pt idx="43">
                  <c:v>379296.15359999996</c:v>
                </c:pt>
                <c:pt idx="44">
                  <c:v>433481.31839999999</c:v>
                </c:pt>
                <c:pt idx="45">
                  <c:v>487666.48319999996</c:v>
                </c:pt>
              </c:numCache>
            </c:numRef>
          </c:val>
          <c:smooth val="0"/>
          <c:extLst>
            <c:ext xmlns:c16="http://schemas.microsoft.com/office/drawing/2014/chart" uri="{C3380CC4-5D6E-409C-BE32-E72D297353CC}">
              <c16:uniqueId val="{00000007-EBAD-48A5-9277-83F388186C0C}"/>
            </c:ext>
          </c:extLst>
        </c:ser>
        <c:ser>
          <c:idx val="9"/>
          <c:order val="4"/>
          <c:tx>
            <c:strRef>
              <c:f>Projections!$A$74</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Projections!$P$75:$BN$75</c15:sqref>
                  </c15:fullRef>
                </c:ext>
              </c:extLst>
              <c:f>(Projections!$P$75:$BE$75,Projections!$BG$75:$BJ$75)</c:f>
              <c:numCache>
                <c:formatCode>#,##0</c:formatCode>
                <c:ptCount val="46"/>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3361.9968000000003</c:v>
                </c:pt>
                <c:pt idx="19">
                  <c:v>3922.3296</c:v>
                </c:pt>
                <c:pt idx="20">
                  <c:v>4482.6624000000002</c:v>
                </c:pt>
                <c:pt idx="21">
                  <c:v>5042.9952000000003</c:v>
                </c:pt>
                <c:pt idx="22">
                  <c:v>5603.3280000000004</c:v>
                </c:pt>
                <c:pt idx="23">
                  <c:v>6723.9936000000007</c:v>
                </c:pt>
                <c:pt idx="24">
                  <c:v>7844.6592000000001</c:v>
                </c:pt>
                <c:pt idx="25">
                  <c:v>8965.3248000000003</c:v>
                </c:pt>
                <c:pt idx="26">
                  <c:v>10085.990400000001</c:v>
                </c:pt>
                <c:pt idx="27">
                  <c:v>11206.656000000001</c:v>
                </c:pt>
                <c:pt idx="28">
                  <c:v>13447.987200000001</c:v>
                </c:pt>
                <c:pt idx="29">
                  <c:v>15689.3184</c:v>
                </c:pt>
                <c:pt idx="30">
                  <c:v>17930.649600000001</c:v>
                </c:pt>
                <c:pt idx="31">
                  <c:v>20171.980800000001</c:v>
                </c:pt>
                <c:pt idx="32">
                  <c:v>22413.312000000002</c:v>
                </c:pt>
                <c:pt idx="33">
                  <c:v>26895.974400000003</c:v>
                </c:pt>
                <c:pt idx="34">
                  <c:v>31378.6368</c:v>
                </c:pt>
                <c:pt idx="35">
                  <c:v>35861.299200000001</c:v>
                </c:pt>
                <c:pt idx="36">
                  <c:v>40343.961600000002</c:v>
                </c:pt>
                <c:pt idx="37">
                  <c:v>44826.624000000003</c:v>
                </c:pt>
                <c:pt idx="38">
                  <c:v>53791.948800000006</c:v>
                </c:pt>
                <c:pt idx="39">
                  <c:v>62757.2736</c:v>
                </c:pt>
                <c:pt idx="40">
                  <c:v>71722.598400000003</c:v>
                </c:pt>
                <c:pt idx="41">
                  <c:v>80687.923200000005</c:v>
                </c:pt>
                <c:pt idx="42">
                  <c:v>107583.89760000001</c:v>
                </c:pt>
                <c:pt idx="43">
                  <c:v>125514.5472</c:v>
                </c:pt>
                <c:pt idx="44">
                  <c:v>143445.19680000001</c:v>
                </c:pt>
                <c:pt idx="45">
                  <c:v>161375.84640000001</c:v>
                </c:pt>
              </c:numCache>
            </c:numRef>
          </c:val>
          <c:smooth val="0"/>
          <c:extLst>
            <c:ext xmlns:c16="http://schemas.microsoft.com/office/drawing/2014/chart" uri="{C3380CC4-5D6E-409C-BE32-E72D297353CC}">
              <c16:uniqueId val="{00000009-EBAD-48A5-9277-83F388186C0C}"/>
            </c:ext>
          </c:extLst>
        </c:ser>
        <c:ser>
          <c:idx val="11"/>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Projections!$P$77:$BN$77</c15:sqref>
                  </c15:fullRef>
                </c:ext>
              </c:extLst>
              <c:f>(Projections!$P$77:$BE$77,Projections!$BG$77:$BJ$77)</c:f>
              <c:numCache>
                <c:formatCode>#,##0</c:formatCode>
                <c:ptCount val="46"/>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2152.8576000000003</c:v>
                </c:pt>
                <c:pt idx="19">
                  <c:v>2511.6672000000003</c:v>
                </c:pt>
                <c:pt idx="20">
                  <c:v>2870.4767999999999</c:v>
                </c:pt>
                <c:pt idx="21">
                  <c:v>3229.2864</c:v>
                </c:pt>
                <c:pt idx="22">
                  <c:v>3588.096</c:v>
                </c:pt>
                <c:pt idx="23">
                  <c:v>4305.7152000000006</c:v>
                </c:pt>
                <c:pt idx="24">
                  <c:v>5023.3344000000006</c:v>
                </c:pt>
                <c:pt idx="25">
                  <c:v>5740.9535999999998</c:v>
                </c:pt>
                <c:pt idx="26">
                  <c:v>6458.5727999999999</c:v>
                </c:pt>
                <c:pt idx="27">
                  <c:v>7176.192</c:v>
                </c:pt>
                <c:pt idx="28">
                  <c:v>8611.4304000000011</c:v>
                </c:pt>
                <c:pt idx="29">
                  <c:v>10046.668800000001</c:v>
                </c:pt>
                <c:pt idx="30">
                  <c:v>11481.9072</c:v>
                </c:pt>
                <c:pt idx="31">
                  <c:v>12917.1456</c:v>
                </c:pt>
                <c:pt idx="32">
                  <c:v>14352.384</c:v>
                </c:pt>
                <c:pt idx="33">
                  <c:v>17222.860800000002</c:v>
                </c:pt>
                <c:pt idx="34">
                  <c:v>20093.337600000003</c:v>
                </c:pt>
                <c:pt idx="35">
                  <c:v>22963.814399999999</c:v>
                </c:pt>
                <c:pt idx="36">
                  <c:v>25834.2912</c:v>
                </c:pt>
                <c:pt idx="37">
                  <c:v>28704.768</c:v>
                </c:pt>
                <c:pt idx="38">
                  <c:v>34445.721600000004</c:v>
                </c:pt>
                <c:pt idx="39">
                  <c:v>40186.675200000005</c:v>
                </c:pt>
                <c:pt idx="40">
                  <c:v>45927.628799999999</c:v>
                </c:pt>
                <c:pt idx="41">
                  <c:v>51668.582399999999</c:v>
                </c:pt>
                <c:pt idx="42">
                  <c:v>68891.443200000009</c:v>
                </c:pt>
                <c:pt idx="43">
                  <c:v>80373.35040000001</c:v>
                </c:pt>
                <c:pt idx="44">
                  <c:v>91855.257599999997</c:v>
                </c:pt>
                <c:pt idx="45">
                  <c:v>103337.1648</c:v>
                </c:pt>
              </c:numCache>
            </c:numRef>
          </c:val>
          <c:smooth val="0"/>
          <c:extLst>
            <c:ext xmlns:c16="http://schemas.microsoft.com/office/drawing/2014/chart" uri="{C3380CC4-5D6E-409C-BE32-E72D297353CC}">
              <c16:uniqueId val="{0000000B-EBAD-48A5-9277-83F388186C0C}"/>
            </c:ext>
          </c:extLst>
        </c:ser>
        <c:ser>
          <c:idx val="13"/>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Projections!$P$79:$BN$79</c15:sqref>
                  </c15:fullRef>
                </c:ext>
              </c:extLst>
              <c:f>(Projections!$P$79:$BE$79,Projections!$BG$79:$BJ$79)</c:f>
              <c:numCache>
                <c:formatCode>#,##0</c:formatCode>
                <c:ptCount val="46"/>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2280.6528000000003</c:v>
                </c:pt>
                <c:pt idx="19">
                  <c:v>2660.7616000000003</c:v>
                </c:pt>
                <c:pt idx="20">
                  <c:v>3040.8704000000002</c:v>
                </c:pt>
                <c:pt idx="21">
                  <c:v>3420.9792000000002</c:v>
                </c:pt>
                <c:pt idx="22">
                  <c:v>3801.0880000000002</c:v>
                </c:pt>
                <c:pt idx="23">
                  <c:v>4561.3056000000006</c:v>
                </c:pt>
                <c:pt idx="24">
                  <c:v>5321.5232000000005</c:v>
                </c:pt>
                <c:pt idx="25">
                  <c:v>6081.7408000000005</c:v>
                </c:pt>
                <c:pt idx="26">
                  <c:v>6841.9584000000004</c:v>
                </c:pt>
                <c:pt idx="27">
                  <c:v>7602.1760000000004</c:v>
                </c:pt>
                <c:pt idx="28">
                  <c:v>9122.6112000000012</c:v>
                </c:pt>
                <c:pt idx="29">
                  <c:v>10643.046400000001</c:v>
                </c:pt>
                <c:pt idx="30">
                  <c:v>12163.481600000001</c:v>
                </c:pt>
                <c:pt idx="31">
                  <c:v>13683.916800000001</c:v>
                </c:pt>
                <c:pt idx="32">
                  <c:v>15204.352000000001</c:v>
                </c:pt>
                <c:pt idx="33">
                  <c:v>18245.222400000002</c:v>
                </c:pt>
                <c:pt idx="34">
                  <c:v>21286.092800000002</c:v>
                </c:pt>
                <c:pt idx="35">
                  <c:v>24326.963200000002</c:v>
                </c:pt>
                <c:pt idx="36">
                  <c:v>27367.833600000002</c:v>
                </c:pt>
                <c:pt idx="37">
                  <c:v>30408.704000000002</c:v>
                </c:pt>
                <c:pt idx="38">
                  <c:v>36490.444800000005</c:v>
                </c:pt>
                <c:pt idx="39">
                  <c:v>42572.185600000004</c:v>
                </c:pt>
                <c:pt idx="40">
                  <c:v>48653.926400000004</c:v>
                </c:pt>
                <c:pt idx="41">
                  <c:v>54735.667200000004</c:v>
                </c:pt>
                <c:pt idx="42">
                  <c:v>72980.88960000001</c:v>
                </c:pt>
                <c:pt idx="43">
                  <c:v>85144.371200000009</c:v>
                </c:pt>
                <c:pt idx="44">
                  <c:v>97307.852800000008</c:v>
                </c:pt>
                <c:pt idx="45">
                  <c:v>109471.33440000001</c:v>
                </c:pt>
              </c:numCache>
            </c:numRef>
          </c:val>
          <c:smooth val="0"/>
          <c:extLst>
            <c:ext xmlns:c16="http://schemas.microsoft.com/office/drawing/2014/chart" uri="{C3380CC4-5D6E-409C-BE32-E72D297353CC}">
              <c16:uniqueId val="{0000000D-EBAD-48A5-9277-83F388186C0C}"/>
            </c:ext>
          </c:extLst>
        </c:ser>
        <c:ser>
          <c:idx val="15"/>
          <c:order val="7"/>
          <c:tx>
            <c:strRef>
              <c:f>Projections!$A$80</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Projections!$P$81:$BN$81</c15:sqref>
                  </c15:fullRef>
                </c:ext>
              </c:extLst>
              <c:f>(Projections!$P$81:$BE$81,Projections!$BG$81:$BJ$81)</c:f>
              <c:numCache>
                <c:formatCode>#,##0</c:formatCode>
                <c:ptCount val="46"/>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373.55520000000001</c:v>
                </c:pt>
                <c:pt idx="19">
                  <c:v>435.81439999999998</c:v>
                </c:pt>
                <c:pt idx="20">
                  <c:v>498.0736</c:v>
                </c:pt>
                <c:pt idx="21">
                  <c:v>560.33279999999991</c:v>
                </c:pt>
                <c:pt idx="22">
                  <c:v>622.59199999999998</c:v>
                </c:pt>
                <c:pt idx="23">
                  <c:v>747.11040000000003</c:v>
                </c:pt>
                <c:pt idx="24">
                  <c:v>871.62879999999996</c:v>
                </c:pt>
                <c:pt idx="25">
                  <c:v>996.1472</c:v>
                </c:pt>
                <c:pt idx="26">
                  <c:v>1120.6655999999998</c:v>
                </c:pt>
                <c:pt idx="27">
                  <c:v>1245.184</c:v>
                </c:pt>
                <c:pt idx="28">
                  <c:v>1494.2208000000001</c:v>
                </c:pt>
                <c:pt idx="29">
                  <c:v>1743.2575999999999</c:v>
                </c:pt>
                <c:pt idx="30">
                  <c:v>1992.2944</c:v>
                </c:pt>
                <c:pt idx="31">
                  <c:v>2241.3311999999996</c:v>
                </c:pt>
                <c:pt idx="32">
                  <c:v>2490.3679999999999</c:v>
                </c:pt>
                <c:pt idx="33">
                  <c:v>2988.4416000000001</c:v>
                </c:pt>
                <c:pt idx="34">
                  <c:v>3486.5151999999998</c:v>
                </c:pt>
                <c:pt idx="35">
                  <c:v>3984.5888</c:v>
                </c:pt>
                <c:pt idx="36">
                  <c:v>4482.6623999999993</c:v>
                </c:pt>
                <c:pt idx="37">
                  <c:v>4980.7359999999999</c:v>
                </c:pt>
                <c:pt idx="38">
                  <c:v>5976.8832000000002</c:v>
                </c:pt>
                <c:pt idx="39">
                  <c:v>6973.0303999999996</c:v>
                </c:pt>
                <c:pt idx="40">
                  <c:v>7969.1776</c:v>
                </c:pt>
                <c:pt idx="41">
                  <c:v>8965.3247999999985</c:v>
                </c:pt>
                <c:pt idx="42">
                  <c:v>11953.7664</c:v>
                </c:pt>
                <c:pt idx="43">
                  <c:v>13946.060799999999</c:v>
                </c:pt>
                <c:pt idx="44">
                  <c:v>15938.3552</c:v>
                </c:pt>
                <c:pt idx="45">
                  <c:v>17930.649599999997</c:v>
                </c:pt>
              </c:numCache>
            </c:numRef>
          </c:val>
          <c:smooth val="0"/>
          <c:extLst>
            <c:ext xmlns:c16="http://schemas.microsoft.com/office/drawing/2014/chart" uri="{C3380CC4-5D6E-409C-BE32-E72D297353CC}">
              <c16:uniqueId val="{0000000F-EBAD-48A5-9277-83F388186C0C}"/>
            </c:ext>
          </c:extLst>
        </c:ser>
        <c:ser>
          <c:idx val="17"/>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Projections!$P$83:$BN$83</c15:sqref>
                  </c15:fullRef>
                </c:ext>
              </c:extLst>
              <c:f>(Projections!$P$83:$BE$83,Projections!$BG$83:$BJ$83)</c:f>
              <c:numCache>
                <c:formatCode>#,##0</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Projections!$P$95:$BN$95</c15:sqref>
                  </c15:fullRef>
                </c:ext>
              </c:extLst>
              <c:f>(Projections!$P$95:$BE$95,Projections!$BG$95:$BJ$95)</c:f>
              <c:numCache>
                <c:formatCode>#,##0</c:formatCode>
                <c:ptCount val="46"/>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1464729.5999999999</c:v>
                </c:pt>
                <c:pt idx="19">
                  <c:v>1708851.2</c:v>
                </c:pt>
                <c:pt idx="20">
                  <c:v>1952972.7999999998</c:v>
                </c:pt>
                <c:pt idx="21">
                  <c:v>2197094.3999999999</c:v>
                </c:pt>
                <c:pt idx="22">
                  <c:v>2441216</c:v>
                </c:pt>
                <c:pt idx="23">
                  <c:v>2929459.1999999997</c:v>
                </c:pt>
                <c:pt idx="24">
                  <c:v>3417702.3999999999</c:v>
                </c:pt>
                <c:pt idx="25">
                  <c:v>3905945.5999999996</c:v>
                </c:pt>
                <c:pt idx="26">
                  <c:v>4394188.7999999998</c:v>
                </c:pt>
                <c:pt idx="27">
                  <c:v>4882432</c:v>
                </c:pt>
                <c:pt idx="28">
                  <c:v>5858918.3999999994</c:v>
                </c:pt>
                <c:pt idx="29">
                  <c:v>6835404.7999999998</c:v>
                </c:pt>
                <c:pt idx="30">
                  <c:v>7811891.1999999993</c:v>
                </c:pt>
                <c:pt idx="31">
                  <c:v>8788377.5999999996</c:v>
                </c:pt>
                <c:pt idx="32">
                  <c:v>9764864</c:v>
                </c:pt>
                <c:pt idx="33">
                  <c:v>11717836.799999999</c:v>
                </c:pt>
                <c:pt idx="34">
                  <c:v>13670809.6</c:v>
                </c:pt>
                <c:pt idx="35">
                  <c:v>15623782.399999999</c:v>
                </c:pt>
                <c:pt idx="36">
                  <c:v>17576755.199999999</c:v>
                </c:pt>
                <c:pt idx="37">
                  <c:v>19529728</c:v>
                </c:pt>
                <c:pt idx="38">
                  <c:v>23435673.599999998</c:v>
                </c:pt>
                <c:pt idx="39">
                  <c:v>27341619.199999999</c:v>
                </c:pt>
                <c:pt idx="40">
                  <c:v>31247564.799999997</c:v>
                </c:pt>
                <c:pt idx="41">
                  <c:v>35153510.399999999</c:v>
                </c:pt>
                <c:pt idx="42">
                  <c:v>46871347.199999996</c:v>
                </c:pt>
                <c:pt idx="43">
                  <c:v>54683238.399999999</c:v>
                </c:pt>
                <c:pt idx="44">
                  <c:v>62495129.599999994</c:v>
                </c:pt>
                <c:pt idx="45">
                  <c:v>70307020.799999997</c:v>
                </c:pt>
              </c:numCache>
            </c:numRef>
          </c:val>
          <c:smooth val="0"/>
          <c:extLst>
            <c:ext xmlns:c16="http://schemas.microsoft.com/office/drawing/2014/chart" uri="{C3380CC4-5D6E-409C-BE32-E72D297353CC}">
              <c16:uniqueId val="{0000001E-05DD-4DD4-A5B5-12D162507280}"/>
            </c:ext>
          </c:extLst>
        </c:ser>
        <c:ser>
          <c:idx val="4"/>
          <c:order val="1"/>
          <c:tx>
            <c:strRef>
              <c:f>Projections!$A$93</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Projections!$P$93:$BN$93</c15:sqref>
                  </c15:fullRef>
                </c:ext>
              </c:extLst>
              <c:f>(Projections!$P$93:$BE$93,Projections!$BG$93:$BJ$93)</c:f>
              <c:numCache>
                <c:formatCode>#,##0</c:formatCode>
                <c:ptCount val="46"/>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983040</c:v>
                </c:pt>
                <c:pt idx="19">
                  <c:v>1146880</c:v>
                </c:pt>
                <c:pt idx="20">
                  <c:v>1310720</c:v>
                </c:pt>
                <c:pt idx="21">
                  <c:v>1474560</c:v>
                </c:pt>
                <c:pt idx="22">
                  <c:v>1638400</c:v>
                </c:pt>
                <c:pt idx="23">
                  <c:v>1966080</c:v>
                </c:pt>
                <c:pt idx="24">
                  <c:v>2293760</c:v>
                </c:pt>
                <c:pt idx="25">
                  <c:v>2621440</c:v>
                </c:pt>
                <c:pt idx="26">
                  <c:v>2949120</c:v>
                </c:pt>
                <c:pt idx="27">
                  <c:v>3276800</c:v>
                </c:pt>
                <c:pt idx="28">
                  <c:v>3932160</c:v>
                </c:pt>
                <c:pt idx="29">
                  <c:v>4587520</c:v>
                </c:pt>
                <c:pt idx="30">
                  <c:v>5242880</c:v>
                </c:pt>
                <c:pt idx="31">
                  <c:v>5898240</c:v>
                </c:pt>
                <c:pt idx="32">
                  <c:v>6553600</c:v>
                </c:pt>
                <c:pt idx="33">
                  <c:v>7864320</c:v>
                </c:pt>
                <c:pt idx="34">
                  <c:v>9175040</c:v>
                </c:pt>
                <c:pt idx="35">
                  <c:v>10485760</c:v>
                </c:pt>
                <c:pt idx="36">
                  <c:v>11796480</c:v>
                </c:pt>
                <c:pt idx="37">
                  <c:v>13107200</c:v>
                </c:pt>
                <c:pt idx="38">
                  <c:v>15728640</c:v>
                </c:pt>
                <c:pt idx="39">
                  <c:v>18350080</c:v>
                </c:pt>
                <c:pt idx="40">
                  <c:v>20971520</c:v>
                </c:pt>
                <c:pt idx="41">
                  <c:v>23592960</c:v>
                </c:pt>
                <c:pt idx="42">
                  <c:v>31457280</c:v>
                </c:pt>
                <c:pt idx="43">
                  <c:v>36700160</c:v>
                </c:pt>
                <c:pt idx="44">
                  <c:v>41943040</c:v>
                </c:pt>
                <c:pt idx="45">
                  <c:v>47185920</c:v>
                </c:pt>
              </c:numCache>
            </c:numRef>
          </c:val>
          <c:smooth val="0"/>
          <c:extLst>
            <c:ext xmlns:c16="http://schemas.microsoft.com/office/drawing/2014/chart" uri="{C3380CC4-5D6E-409C-BE32-E72D297353CC}">
              <c16:uniqueId val="{0000001C-05DD-4DD4-A5B5-12D162507280}"/>
            </c:ext>
          </c:extLst>
        </c:ser>
        <c:ser>
          <c:idx val="10"/>
          <c:order val="2"/>
          <c:tx>
            <c:strRef>
              <c:f>Projections!$A$99</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Projections!$P$99:$BN$99</c15:sqref>
                  </c15:fullRef>
                </c:ext>
              </c:extLst>
              <c:f>(Projections!$P$99:$BE$99,Projections!$BG$99:$BJ$99)</c:f>
              <c:numCache>
                <c:formatCode>#,##0</c:formatCode>
                <c:ptCount val="46"/>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688128.00000000012</c:v>
                </c:pt>
                <c:pt idx="19">
                  <c:v>802816.00000000012</c:v>
                </c:pt>
                <c:pt idx="20">
                  <c:v>917504.00000000012</c:v>
                </c:pt>
                <c:pt idx="21">
                  <c:v>1032192.0000000001</c:v>
                </c:pt>
                <c:pt idx="22">
                  <c:v>1146880</c:v>
                </c:pt>
                <c:pt idx="23">
                  <c:v>1376256.0000000002</c:v>
                </c:pt>
                <c:pt idx="24">
                  <c:v>1605632.0000000002</c:v>
                </c:pt>
                <c:pt idx="25">
                  <c:v>1835008.0000000002</c:v>
                </c:pt>
                <c:pt idx="26">
                  <c:v>2064384.0000000002</c:v>
                </c:pt>
                <c:pt idx="27">
                  <c:v>2293760</c:v>
                </c:pt>
                <c:pt idx="28">
                  <c:v>2752512.0000000005</c:v>
                </c:pt>
                <c:pt idx="29">
                  <c:v>3211264.0000000005</c:v>
                </c:pt>
                <c:pt idx="30">
                  <c:v>3670016.0000000005</c:v>
                </c:pt>
                <c:pt idx="31">
                  <c:v>4128768.0000000005</c:v>
                </c:pt>
                <c:pt idx="32">
                  <c:v>4587520</c:v>
                </c:pt>
                <c:pt idx="33">
                  <c:v>5505024.0000000009</c:v>
                </c:pt>
                <c:pt idx="34">
                  <c:v>6422528.0000000009</c:v>
                </c:pt>
                <c:pt idx="35">
                  <c:v>7340032.0000000009</c:v>
                </c:pt>
                <c:pt idx="36">
                  <c:v>8257536.0000000009</c:v>
                </c:pt>
                <c:pt idx="37">
                  <c:v>9175040</c:v>
                </c:pt>
                <c:pt idx="38">
                  <c:v>11010048.000000002</c:v>
                </c:pt>
                <c:pt idx="39">
                  <c:v>12845056.000000002</c:v>
                </c:pt>
                <c:pt idx="40">
                  <c:v>14680064.000000002</c:v>
                </c:pt>
                <c:pt idx="41">
                  <c:v>16515072.000000002</c:v>
                </c:pt>
                <c:pt idx="42">
                  <c:v>22020096.000000004</c:v>
                </c:pt>
                <c:pt idx="43">
                  <c:v>25690112.000000004</c:v>
                </c:pt>
                <c:pt idx="44">
                  <c:v>29360128.000000004</c:v>
                </c:pt>
                <c:pt idx="45">
                  <c:v>33030144.000000004</c:v>
                </c:pt>
              </c:numCache>
            </c:numRef>
          </c:val>
          <c:smooth val="0"/>
          <c:extLst>
            <c:ext xmlns:c16="http://schemas.microsoft.com/office/drawing/2014/chart" uri="{C3380CC4-5D6E-409C-BE32-E72D297353CC}">
              <c16:uniqueId val="{00000022-05DD-4DD4-A5B5-12D162507280}"/>
            </c:ext>
          </c:extLst>
        </c:ser>
        <c:ser>
          <c:idx val="0"/>
          <c:order val="3"/>
          <c:tx>
            <c:strRef>
              <c:f>Projections!$A$89</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Projections!$P$89:$BN$89</c15:sqref>
                  </c15:fullRef>
                </c:ext>
              </c:extLst>
              <c:f>(Projections!$P$89:$BE$89,Projections!$BG$89:$BJ$89)</c:f>
              <c:numCache>
                <c:formatCode>#,##0</c:formatCode>
                <c:ptCount val="46"/>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191692.79999999999</c:v>
                </c:pt>
                <c:pt idx="19">
                  <c:v>223641.60000000001</c:v>
                </c:pt>
                <c:pt idx="20">
                  <c:v>255590.39999999999</c:v>
                </c:pt>
                <c:pt idx="21">
                  <c:v>287539.20000000001</c:v>
                </c:pt>
                <c:pt idx="22">
                  <c:v>319488</c:v>
                </c:pt>
                <c:pt idx="23">
                  <c:v>383385.59999999998</c:v>
                </c:pt>
                <c:pt idx="24">
                  <c:v>447283.20000000001</c:v>
                </c:pt>
                <c:pt idx="25">
                  <c:v>511180.79999999999</c:v>
                </c:pt>
                <c:pt idx="26">
                  <c:v>575078.40000000002</c:v>
                </c:pt>
                <c:pt idx="27">
                  <c:v>638976</c:v>
                </c:pt>
                <c:pt idx="28">
                  <c:v>766771.19999999995</c:v>
                </c:pt>
                <c:pt idx="29">
                  <c:v>894566.40000000002</c:v>
                </c:pt>
                <c:pt idx="30">
                  <c:v>1022361.6</c:v>
                </c:pt>
                <c:pt idx="31">
                  <c:v>1150156.8</c:v>
                </c:pt>
                <c:pt idx="32">
                  <c:v>1277952</c:v>
                </c:pt>
                <c:pt idx="33">
                  <c:v>1533542.3999999999</c:v>
                </c:pt>
                <c:pt idx="34">
                  <c:v>1789132.8</c:v>
                </c:pt>
                <c:pt idx="35">
                  <c:v>2044723.2</c:v>
                </c:pt>
                <c:pt idx="36">
                  <c:v>2300313.6000000001</c:v>
                </c:pt>
                <c:pt idx="37">
                  <c:v>2555904</c:v>
                </c:pt>
                <c:pt idx="38">
                  <c:v>3067084.7999999998</c:v>
                </c:pt>
                <c:pt idx="39">
                  <c:v>3578265.6000000001</c:v>
                </c:pt>
                <c:pt idx="40">
                  <c:v>4089446.3999999999</c:v>
                </c:pt>
                <c:pt idx="41">
                  <c:v>4600627.2000000002</c:v>
                </c:pt>
                <c:pt idx="42">
                  <c:v>6134169.5999999996</c:v>
                </c:pt>
                <c:pt idx="43">
                  <c:v>7156531.2000000002</c:v>
                </c:pt>
                <c:pt idx="44">
                  <c:v>8178892.7999999998</c:v>
                </c:pt>
                <c:pt idx="45">
                  <c:v>9201254.4000000004</c:v>
                </c:pt>
              </c:numCache>
            </c:numRef>
          </c:val>
          <c:smooth val="0"/>
          <c:extLst>
            <c:ext xmlns:c16="http://schemas.microsoft.com/office/drawing/2014/chart" uri="{C3380CC4-5D6E-409C-BE32-E72D297353CC}">
              <c16:uniqueId val="{00000018-05DD-4DD4-A5B5-12D162507280}"/>
            </c:ext>
          </c:extLst>
        </c:ser>
        <c:ser>
          <c:idx val="2"/>
          <c:order val="4"/>
          <c:tx>
            <c:strRef>
              <c:f>Projections!$A$91</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Projections!$P$91:$BN$91</c15:sqref>
                  </c15:fullRef>
                </c:ext>
              </c:extLst>
              <c:f>(Projections!$P$91:$BE$91,Projections!$BG$91:$BJ$91)</c:f>
              <c:numCache>
                <c:formatCode>#,##0</c:formatCode>
                <c:ptCount val="46"/>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437452.79999999999</c:v>
                </c:pt>
                <c:pt idx="19">
                  <c:v>510361.59999999998</c:v>
                </c:pt>
                <c:pt idx="20">
                  <c:v>583270.40000000002</c:v>
                </c:pt>
                <c:pt idx="21">
                  <c:v>656179.19999999995</c:v>
                </c:pt>
                <c:pt idx="22">
                  <c:v>729088</c:v>
                </c:pt>
                <c:pt idx="23">
                  <c:v>874905.59999999998</c:v>
                </c:pt>
                <c:pt idx="24">
                  <c:v>1020723.2</c:v>
                </c:pt>
                <c:pt idx="25">
                  <c:v>1166540.8</c:v>
                </c:pt>
                <c:pt idx="26">
                  <c:v>1312358.3999999999</c:v>
                </c:pt>
                <c:pt idx="27">
                  <c:v>1458176</c:v>
                </c:pt>
                <c:pt idx="28">
                  <c:v>1749811.2</c:v>
                </c:pt>
                <c:pt idx="29">
                  <c:v>2041446.3999999999</c:v>
                </c:pt>
                <c:pt idx="30">
                  <c:v>2333081.6000000001</c:v>
                </c:pt>
                <c:pt idx="31">
                  <c:v>2624716.7999999998</c:v>
                </c:pt>
                <c:pt idx="32">
                  <c:v>2916352</c:v>
                </c:pt>
                <c:pt idx="33">
                  <c:v>3499622.3999999999</c:v>
                </c:pt>
                <c:pt idx="34">
                  <c:v>4082892.7999999998</c:v>
                </c:pt>
                <c:pt idx="35">
                  <c:v>4666163.2000000002</c:v>
                </c:pt>
                <c:pt idx="36">
                  <c:v>5249433.5999999996</c:v>
                </c:pt>
                <c:pt idx="37">
                  <c:v>5832704</c:v>
                </c:pt>
                <c:pt idx="38">
                  <c:v>6999244.7999999998</c:v>
                </c:pt>
                <c:pt idx="39">
                  <c:v>8165785.5999999996</c:v>
                </c:pt>
                <c:pt idx="40">
                  <c:v>9332326.4000000004</c:v>
                </c:pt>
                <c:pt idx="41">
                  <c:v>10498867.199999999</c:v>
                </c:pt>
                <c:pt idx="42">
                  <c:v>13998489.6</c:v>
                </c:pt>
                <c:pt idx="43">
                  <c:v>16331571.199999999</c:v>
                </c:pt>
                <c:pt idx="44">
                  <c:v>18664652.800000001</c:v>
                </c:pt>
                <c:pt idx="45">
                  <c:v>20997734.399999999</c:v>
                </c:pt>
              </c:numCache>
            </c:numRef>
          </c:val>
          <c:smooth val="0"/>
          <c:extLst>
            <c:ext xmlns:c16="http://schemas.microsoft.com/office/drawing/2014/chart" uri="{C3380CC4-5D6E-409C-BE32-E72D297353CC}">
              <c16:uniqueId val="{0000001A-05DD-4DD4-A5B5-12D162507280}"/>
            </c:ext>
          </c:extLst>
        </c:ser>
        <c:ser>
          <c:idx val="8"/>
          <c:order val="5"/>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Projections!$P$97:$BN$97</c15:sqref>
                  </c15:fullRef>
                </c:ext>
              </c:extLst>
              <c:f>(Projections!$P$97:$BE$97,Projections!$BG$97:$BJ$97)</c:f>
              <c:numCache>
                <c:formatCode>#,##0</c:formatCode>
                <c:ptCount val="46"/>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4669.4399999999996</c:v>
                </c:pt>
                <c:pt idx="19">
                  <c:v>5447.68</c:v>
                </c:pt>
                <c:pt idx="20">
                  <c:v>6225.92</c:v>
                </c:pt>
                <c:pt idx="21">
                  <c:v>7004.16</c:v>
                </c:pt>
                <c:pt idx="22">
                  <c:v>7782.4</c:v>
                </c:pt>
                <c:pt idx="23">
                  <c:v>9338.8799999999992</c:v>
                </c:pt>
                <c:pt idx="24">
                  <c:v>10895.36</c:v>
                </c:pt>
                <c:pt idx="25">
                  <c:v>12451.84</c:v>
                </c:pt>
                <c:pt idx="26">
                  <c:v>14008.32</c:v>
                </c:pt>
                <c:pt idx="27">
                  <c:v>15564.8</c:v>
                </c:pt>
                <c:pt idx="28">
                  <c:v>18677.759999999998</c:v>
                </c:pt>
                <c:pt idx="29">
                  <c:v>21790.720000000001</c:v>
                </c:pt>
                <c:pt idx="30">
                  <c:v>24903.68</c:v>
                </c:pt>
                <c:pt idx="31">
                  <c:v>28016.639999999999</c:v>
                </c:pt>
                <c:pt idx="32">
                  <c:v>31129.599999999999</c:v>
                </c:pt>
                <c:pt idx="33">
                  <c:v>37355.519999999997</c:v>
                </c:pt>
                <c:pt idx="34">
                  <c:v>43581.440000000002</c:v>
                </c:pt>
                <c:pt idx="35">
                  <c:v>49807.360000000001</c:v>
                </c:pt>
                <c:pt idx="36">
                  <c:v>56033.279999999999</c:v>
                </c:pt>
                <c:pt idx="37">
                  <c:v>62259.199999999997</c:v>
                </c:pt>
                <c:pt idx="38">
                  <c:v>74711.039999999994</c:v>
                </c:pt>
                <c:pt idx="39">
                  <c:v>87162.880000000005</c:v>
                </c:pt>
                <c:pt idx="40">
                  <c:v>99614.720000000001</c:v>
                </c:pt>
                <c:pt idx="41">
                  <c:v>112066.56</c:v>
                </c:pt>
                <c:pt idx="42">
                  <c:v>149422.07999999999</c:v>
                </c:pt>
                <c:pt idx="43">
                  <c:v>174325.76000000001</c:v>
                </c:pt>
                <c:pt idx="44">
                  <c:v>199229.44</c:v>
                </c:pt>
                <c:pt idx="45">
                  <c:v>224133.12</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Projections!$P$96:$BN$96</c15:sqref>
                  </c15:fullRef>
                </c:ext>
              </c:extLst>
              <c:f>(Projections!$P$96:$BE$96,Projections!$BG$96:$BJ$96)</c:f>
              <c:numCache>
                <c:formatCode>#,##0</c:formatCode>
                <c:ptCount val="46"/>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87883.775999999983</c:v>
                </c:pt>
                <c:pt idx="19">
                  <c:v>102531.072</c:v>
                </c:pt>
                <c:pt idx="20">
                  <c:v>117178.36799999999</c:v>
                </c:pt>
                <c:pt idx="21">
                  <c:v>131825.66399999999</c:v>
                </c:pt>
                <c:pt idx="22">
                  <c:v>146472.95999999999</c:v>
                </c:pt>
                <c:pt idx="23">
                  <c:v>175767.55199999997</c:v>
                </c:pt>
                <c:pt idx="24">
                  <c:v>205062.144</c:v>
                </c:pt>
                <c:pt idx="25">
                  <c:v>234356.73599999998</c:v>
                </c:pt>
                <c:pt idx="26">
                  <c:v>263651.32799999998</c:v>
                </c:pt>
                <c:pt idx="27">
                  <c:v>292945.91999999998</c:v>
                </c:pt>
                <c:pt idx="28">
                  <c:v>351535.10399999993</c:v>
                </c:pt>
                <c:pt idx="29">
                  <c:v>410124.288</c:v>
                </c:pt>
                <c:pt idx="30">
                  <c:v>468713.47199999995</c:v>
                </c:pt>
                <c:pt idx="31">
                  <c:v>527302.65599999996</c:v>
                </c:pt>
                <c:pt idx="32">
                  <c:v>585891.83999999997</c:v>
                </c:pt>
                <c:pt idx="33">
                  <c:v>703070.20799999987</c:v>
                </c:pt>
                <c:pt idx="34">
                  <c:v>820248.576</c:v>
                </c:pt>
                <c:pt idx="35">
                  <c:v>937426.9439999999</c:v>
                </c:pt>
                <c:pt idx="36">
                  <c:v>1054605.3119999999</c:v>
                </c:pt>
                <c:pt idx="37">
                  <c:v>1171783.6799999999</c:v>
                </c:pt>
                <c:pt idx="38">
                  <c:v>1406140.4159999997</c:v>
                </c:pt>
                <c:pt idx="39">
                  <c:v>1640497.152</c:v>
                </c:pt>
                <c:pt idx="40">
                  <c:v>1874853.8879999998</c:v>
                </c:pt>
                <c:pt idx="41">
                  <c:v>2109210.6239999998</c:v>
                </c:pt>
                <c:pt idx="42">
                  <c:v>2812280.8319999995</c:v>
                </c:pt>
                <c:pt idx="43">
                  <c:v>3280994.304</c:v>
                </c:pt>
                <c:pt idx="44">
                  <c:v>3749707.7759999996</c:v>
                </c:pt>
                <c:pt idx="45">
                  <c:v>4218421.2479999997</c:v>
                </c:pt>
              </c:numCache>
            </c:numRef>
          </c:val>
          <c:smooth val="0"/>
          <c:extLst>
            <c:ext xmlns:c16="http://schemas.microsoft.com/office/drawing/2014/chart" uri="{C3380CC4-5D6E-409C-BE32-E72D297353CC}">
              <c16:uniqueId val="{00000007-65B4-47F9-9B97-64FB989C8893}"/>
            </c:ext>
          </c:extLst>
        </c:ser>
        <c:ser>
          <c:idx val="5"/>
          <c:order val="1"/>
          <c:tx>
            <c:strRef>
              <c:f>Projections!$A$93</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Projections!$P$94:$BN$94</c15:sqref>
                  </c15:fullRef>
                </c:ext>
              </c:extLst>
              <c:f>(Projections!$P$94:$BE$94,Projections!$BG$94:$BJ$94)</c:f>
              <c:numCache>
                <c:formatCode>#,##0</c:formatCode>
                <c:ptCount val="46"/>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61931.520000000004</c:v>
                </c:pt>
                <c:pt idx="19">
                  <c:v>72253.440000000002</c:v>
                </c:pt>
                <c:pt idx="20">
                  <c:v>82575.360000000001</c:v>
                </c:pt>
                <c:pt idx="21">
                  <c:v>92897.279999999999</c:v>
                </c:pt>
                <c:pt idx="22">
                  <c:v>103219.2</c:v>
                </c:pt>
                <c:pt idx="23">
                  <c:v>123863.04000000001</c:v>
                </c:pt>
                <c:pt idx="24">
                  <c:v>144506.88</c:v>
                </c:pt>
                <c:pt idx="25">
                  <c:v>165150.72</c:v>
                </c:pt>
                <c:pt idx="26">
                  <c:v>185794.56</c:v>
                </c:pt>
                <c:pt idx="27">
                  <c:v>206438.39999999999</c:v>
                </c:pt>
                <c:pt idx="28">
                  <c:v>247726.08000000002</c:v>
                </c:pt>
                <c:pt idx="29">
                  <c:v>289013.76000000001</c:v>
                </c:pt>
                <c:pt idx="30">
                  <c:v>330301.44</c:v>
                </c:pt>
                <c:pt idx="31">
                  <c:v>371589.12</c:v>
                </c:pt>
                <c:pt idx="32">
                  <c:v>412876.79999999999</c:v>
                </c:pt>
                <c:pt idx="33">
                  <c:v>495452.16000000003</c:v>
                </c:pt>
                <c:pt idx="34">
                  <c:v>578027.52000000002</c:v>
                </c:pt>
                <c:pt idx="35">
                  <c:v>660602.88</c:v>
                </c:pt>
                <c:pt idx="36">
                  <c:v>743178.23999999999</c:v>
                </c:pt>
                <c:pt idx="37">
                  <c:v>825753.59999999998</c:v>
                </c:pt>
                <c:pt idx="38">
                  <c:v>990904.32000000007</c:v>
                </c:pt>
                <c:pt idx="39">
                  <c:v>1156055.04</c:v>
                </c:pt>
                <c:pt idx="40">
                  <c:v>1321205.76</c:v>
                </c:pt>
                <c:pt idx="41">
                  <c:v>1486356.48</c:v>
                </c:pt>
                <c:pt idx="42">
                  <c:v>1981808.6400000001</c:v>
                </c:pt>
                <c:pt idx="43">
                  <c:v>2312110.0800000001</c:v>
                </c:pt>
                <c:pt idx="44">
                  <c:v>2642411.52</c:v>
                </c:pt>
                <c:pt idx="45">
                  <c:v>2972712.96</c:v>
                </c:pt>
              </c:numCache>
            </c:numRef>
          </c:val>
          <c:smooth val="0"/>
          <c:extLst>
            <c:ext xmlns:c16="http://schemas.microsoft.com/office/drawing/2014/chart" uri="{C3380CC4-5D6E-409C-BE32-E72D297353CC}">
              <c16:uniqueId val="{00000005-65B4-47F9-9B97-64FB989C8893}"/>
            </c:ext>
          </c:extLst>
        </c:ser>
        <c:ser>
          <c:idx val="1"/>
          <c:order val="2"/>
          <c:tx>
            <c:strRef>
              <c:f>Projections!$A$89</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Projections!$P$90:$BN$90</c15:sqref>
                  </c15:fullRef>
                </c:ext>
              </c:extLst>
              <c:f>(Projections!$P$90:$BE$90,Projections!$BG$90:$BJ$90)</c:f>
              <c:numCache>
                <c:formatCode>#,##0</c:formatCode>
                <c:ptCount val="46"/>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20127.743999999999</c:v>
                </c:pt>
                <c:pt idx="19">
                  <c:v>23482.367999999999</c:v>
                </c:pt>
                <c:pt idx="20">
                  <c:v>26836.991999999998</c:v>
                </c:pt>
                <c:pt idx="21">
                  <c:v>30191.616000000002</c:v>
                </c:pt>
                <c:pt idx="22">
                  <c:v>33546.239999999998</c:v>
                </c:pt>
                <c:pt idx="23">
                  <c:v>40255.487999999998</c:v>
                </c:pt>
                <c:pt idx="24">
                  <c:v>46964.735999999997</c:v>
                </c:pt>
                <c:pt idx="25">
                  <c:v>53673.983999999997</c:v>
                </c:pt>
                <c:pt idx="26">
                  <c:v>60383.232000000004</c:v>
                </c:pt>
                <c:pt idx="27">
                  <c:v>67092.479999999996</c:v>
                </c:pt>
                <c:pt idx="28">
                  <c:v>80510.975999999995</c:v>
                </c:pt>
                <c:pt idx="29">
                  <c:v>93929.471999999994</c:v>
                </c:pt>
                <c:pt idx="30">
                  <c:v>107347.96799999999</c:v>
                </c:pt>
                <c:pt idx="31">
                  <c:v>120766.46400000001</c:v>
                </c:pt>
                <c:pt idx="32">
                  <c:v>134184.95999999999</c:v>
                </c:pt>
                <c:pt idx="33">
                  <c:v>161021.95199999999</c:v>
                </c:pt>
                <c:pt idx="34">
                  <c:v>187858.94399999999</c:v>
                </c:pt>
                <c:pt idx="35">
                  <c:v>214695.93599999999</c:v>
                </c:pt>
                <c:pt idx="36">
                  <c:v>241532.92800000001</c:v>
                </c:pt>
                <c:pt idx="37">
                  <c:v>268369.91999999998</c:v>
                </c:pt>
                <c:pt idx="38">
                  <c:v>322043.90399999998</c:v>
                </c:pt>
                <c:pt idx="39">
                  <c:v>375717.88799999998</c:v>
                </c:pt>
                <c:pt idx="40">
                  <c:v>429391.87199999997</c:v>
                </c:pt>
                <c:pt idx="41">
                  <c:v>483065.85600000003</c:v>
                </c:pt>
                <c:pt idx="42">
                  <c:v>644087.80799999996</c:v>
                </c:pt>
                <c:pt idx="43">
                  <c:v>751435.77599999995</c:v>
                </c:pt>
                <c:pt idx="44">
                  <c:v>858783.74399999995</c:v>
                </c:pt>
                <c:pt idx="45">
                  <c:v>966131.71200000006</c:v>
                </c:pt>
              </c:numCache>
            </c:numRef>
          </c:val>
          <c:smooth val="0"/>
          <c:extLst>
            <c:ext xmlns:c16="http://schemas.microsoft.com/office/drawing/2014/chart" uri="{C3380CC4-5D6E-409C-BE32-E72D297353CC}">
              <c16:uniqueId val="{00000001-65B4-47F9-9B97-64FB989C8893}"/>
            </c:ext>
          </c:extLst>
        </c:ser>
        <c:ser>
          <c:idx val="3"/>
          <c:order val="3"/>
          <c:tx>
            <c:strRef>
              <c:f>Projections!$A$91</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Projections!$P$92:$BN$92</c15:sqref>
                  </c15:fullRef>
                </c:ext>
              </c:extLst>
              <c:f>(Projections!$P$92:$BE$92,Projections!$BG$92:$BJ$92)</c:f>
              <c:numCache>
                <c:formatCode>#,##0</c:formatCode>
                <c:ptCount val="46"/>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31934.054399999997</c:v>
                </c:pt>
                <c:pt idx="19">
                  <c:v>37256.396799999995</c:v>
                </c:pt>
                <c:pt idx="20">
                  <c:v>42578.739199999996</c:v>
                </c:pt>
                <c:pt idx="21">
                  <c:v>47901.08159999999</c:v>
                </c:pt>
                <c:pt idx="22">
                  <c:v>53223.423999999999</c:v>
                </c:pt>
                <c:pt idx="23">
                  <c:v>63868.108799999995</c:v>
                </c:pt>
                <c:pt idx="24">
                  <c:v>74512.79359999999</c:v>
                </c:pt>
                <c:pt idx="25">
                  <c:v>85157.478399999993</c:v>
                </c:pt>
                <c:pt idx="26">
                  <c:v>95802.163199999981</c:v>
                </c:pt>
                <c:pt idx="27">
                  <c:v>106446.848</c:v>
                </c:pt>
                <c:pt idx="28">
                  <c:v>127736.21759999999</c:v>
                </c:pt>
                <c:pt idx="29">
                  <c:v>149025.58719999998</c:v>
                </c:pt>
                <c:pt idx="30">
                  <c:v>170314.95679999999</c:v>
                </c:pt>
                <c:pt idx="31">
                  <c:v>191604.32639999996</c:v>
                </c:pt>
                <c:pt idx="32">
                  <c:v>212893.696</c:v>
                </c:pt>
                <c:pt idx="33">
                  <c:v>255472.43519999998</c:v>
                </c:pt>
                <c:pt idx="34">
                  <c:v>298051.17439999996</c:v>
                </c:pt>
                <c:pt idx="35">
                  <c:v>340629.91359999997</c:v>
                </c:pt>
                <c:pt idx="36">
                  <c:v>383208.65279999992</c:v>
                </c:pt>
                <c:pt idx="37">
                  <c:v>425787.39199999999</c:v>
                </c:pt>
                <c:pt idx="38">
                  <c:v>510944.87039999996</c:v>
                </c:pt>
                <c:pt idx="39">
                  <c:v>596102.34879999992</c:v>
                </c:pt>
                <c:pt idx="40">
                  <c:v>681259.82719999994</c:v>
                </c:pt>
                <c:pt idx="41">
                  <c:v>766417.30559999985</c:v>
                </c:pt>
                <c:pt idx="42">
                  <c:v>1021889.7407999999</c:v>
                </c:pt>
                <c:pt idx="43">
                  <c:v>1192204.6975999998</c:v>
                </c:pt>
                <c:pt idx="44">
                  <c:v>1362519.6543999999</c:v>
                </c:pt>
                <c:pt idx="45">
                  <c:v>1532834.6111999997</c:v>
                </c:pt>
              </c:numCache>
            </c:numRef>
          </c:val>
          <c:smooth val="0"/>
          <c:extLst>
            <c:ext xmlns:c16="http://schemas.microsoft.com/office/drawing/2014/chart" uri="{C3380CC4-5D6E-409C-BE32-E72D297353CC}">
              <c16:uniqueId val="{00000003-65B4-47F9-9B97-64FB989C8893}"/>
            </c:ext>
          </c:extLst>
        </c:ser>
        <c:ser>
          <c:idx val="9"/>
          <c:order val="4"/>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Projections!$P$98:$BN$98</c15:sqref>
                  </c15:fullRef>
                </c:ext>
              </c:extLst>
              <c:f>(Projections!$P$98:$BE$98,Projections!$BG$98:$BJ$98)</c:f>
              <c:numCache>
                <c:formatCode>#,##0</c:formatCode>
                <c:ptCount val="46"/>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261.48863999999998</c:v>
                </c:pt>
                <c:pt idx="19">
                  <c:v>305.07008000000002</c:v>
                </c:pt>
                <c:pt idx="20">
                  <c:v>348.65152</c:v>
                </c:pt>
                <c:pt idx="21">
                  <c:v>392.23295999999999</c:v>
                </c:pt>
                <c:pt idx="22">
                  <c:v>435.81439999999998</c:v>
                </c:pt>
                <c:pt idx="23">
                  <c:v>522.97727999999995</c:v>
                </c:pt>
                <c:pt idx="24">
                  <c:v>610.14016000000004</c:v>
                </c:pt>
                <c:pt idx="25">
                  <c:v>697.30304000000001</c:v>
                </c:pt>
                <c:pt idx="26">
                  <c:v>784.46591999999998</c:v>
                </c:pt>
                <c:pt idx="27">
                  <c:v>871.62879999999996</c:v>
                </c:pt>
                <c:pt idx="28">
                  <c:v>1045.9545599999999</c:v>
                </c:pt>
                <c:pt idx="29">
                  <c:v>1220.2803200000001</c:v>
                </c:pt>
                <c:pt idx="30">
                  <c:v>1394.60608</c:v>
                </c:pt>
                <c:pt idx="31">
                  <c:v>1568.93184</c:v>
                </c:pt>
                <c:pt idx="32">
                  <c:v>1743.2575999999999</c:v>
                </c:pt>
                <c:pt idx="33">
                  <c:v>2091.9091199999998</c:v>
                </c:pt>
                <c:pt idx="34">
                  <c:v>2440.5606400000001</c:v>
                </c:pt>
                <c:pt idx="35">
                  <c:v>2789.21216</c:v>
                </c:pt>
                <c:pt idx="36">
                  <c:v>3137.8636799999999</c:v>
                </c:pt>
                <c:pt idx="37">
                  <c:v>3486.5151999999998</c:v>
                </c:pt>
                <c:pt idx="38">
                  <c:v>4183.8182399999996</c:v>
                </c:pt>
                <c:pt idx="39">
                  <c:v>4881.1212800000003</c:v>
                </c:pt>
                <c:pt idx="40">
                  <c:v>5578.4243200000001</c:v>
                </c:pt>
                <c:pt idx="41">
                  <c:v>6275.7273599999999</c:v>
                </c:pt>
                <c:pt idx="42">
                  <c:v>8367.6364799999992</c:v>
                </c:pt>
                <c:pt idx="43">
                  <c:v>9762.2425600000006</c:v>
                </c:pt>
                <c:pt idx="44">
                  <c:v>11156.84864</c:v>
                </c:pt>
                <c:pt idx="45">
                  <c:v>12551.45472</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67</xdr:col>
      <xdr:colOff>723901</xdr:colOff>
      <xdr:row>32</xdr:row>
      <xdr:rowOff>157162</xdr:rowOff>
    </xdr:from>
    <xdr:to>
      <xdr:col>79</xdr:col>
      <xdr:colOff>576263</xdr:colOff>
      <xdr:row>63</xdr:row>
      <xdr:rowOff>157162</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67</xdr:col>
      <xdr:colOff>712643</xdr:colOff>
      <xdr:row>103</xdr:row>
      <xdr:rowOff>172501</xdr:rowOff>
    </xdr:from>
    <xdr:to>
      <xdr:col>79</xdr:col>
      <xdr:colOff>614363</xdr:colOff>
      <xdr:row>126</xdr:row>
      <xdr:rowOff>182026</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67</xdr:col>
      <xdr:colOff>717406</xdr:colOff>
      <xdr:row>127</xdr:row>
      <xdr:rowOff>177263</xdr:rowOff>
    </xdr:from>
    <xdr:to>
      <xdr:col>80</xdr:col>
      <xdr:colOff>4763</xdr:colOff>
      <xdr:row>144</xdr:row>
      <xdr:rowOff>153451</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67</xdr:col>
      <xdr:colOff>717405</xdr:colOff>
      <xdr:row>145</xdr:row>
      <xdr:rowOff>158212</xdr:rowOff>
    </xdr:from>
    <xdr:to>
      <xdr:col>80</xdr:col>
      <xdr:colOff>14287</xdr:colOff>
      <xdr:row>161</xdr:row>
      <xdr:rowOff>153451</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717407</xdr:colOff>
      <xdr:row>162</xdr:row>
      <xdr:rowOff>177262</xdr:rowOff>
    </xdr:from>
    <xdr:to>
      <xdr:col>79</xdr:col>
      <xdr:colOff>614363</xdr:colOff>
      <xdr:row>181</xdr:row>
      <xdr:rowOff>172501</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67</xdr:col>
      <xdr:colOff>714375</xdr:colOff>
      <xdr:row>65</xdr:row>
      <xdr:rowOff>171449</xdr:rowOff>
    </xdr:from>
    <xdr:to>
      <xdr:col>79</xdr:col>
      <xdr:colOff>614363</xdr:colOff>
      <xdr:row>85</xdr:row>
      <xdr:rowOff>170769</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67</xdr:col>
      <xdr:colOff>716416</xdr:colOff>
      <xdr:row>86</xdr:row>
      <xdr:rowOff>169408</xdr:rowOff>
    </xdr:from>
    <xdr:to>
      <xdr:col>79</xdr:col>
      <xdr:colOff>566738</xdr:colOff>
      <xdr:row>102</xdr:row>
      <xdr:rowOff>153079</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80</xdr:col>
      <xdr:colOff>595314</xdr:colOff>
      <xdr:row>32</xdr:row>
      <xdr:rowOff>157162</xdr:rowOff>
    </xdr:from>
    <xdr:to>
      <xdr:col>93</xdr:col>
      <xdr:colOff>138113</xdr:colOff>
      <xdr:row>63</xdr:row>
      <xdr:rowOff>157162</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80</xdr:col>
      <xdr:colOff>584055</xdr:colOff>
      <xdr:row>103</xdr:row>
      <xdr:rowOff>153451</xdr:rowOff>
    </xdr:from>
    <xdr:to>
      <xdr:col>93</xdr:col>
      <xdr:colOff>185738</xdr:colOff>
      <xdr:row>126</xdr:row>
      <xdr:rowOff>162976</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80</xdr:col>
      <xdr:colOff>574531</xdr:colOff>
      <xdr:row>127</xdr:row>
      <xdr:rowOff>167738</xdr:rowOff>
    </xdr:from>
    <xdr:to>
      <xdr:col>93</xdr:col>
      <xdr:colOff>176213</xdr:colOff>
      <xdr:row>144</xdr:row>
      <xdr:rowOff>143926</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80</xdr:col>
      <xdr:colOff>598342</xdr:colOff>
      <xdr:row>145</xdr:row>
      <xdr:rowOff>158212</xdr:rowOff>
    </xdr:from>
    <xdr:to>
      <xdr:col>93</xdr:col>
      <xdr:colOff>195262</xdr:colOff>
      <xdr:row>161</xdr:row>
      <xdr:rowOff>153451</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80</xdr:col>
      <xdr:colOff>617394</xdr:colOff>
      <xdr:row>162</xdr:row>
      <xdr:rowOff>177262</xdr:rowOff>
    </xdr:from>
    <xdr:to>
      <xdr:col>93</xdr:col>
      <xdr:colOff>204788</xdr:colOff>
      <xdr:row>181</xdr:row>
      <xdr:rowOff>172501</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80</xdr:col>
      <xdr:colOff>576262</xdr:colOff>
      <xdr:row>65</xdr:row>
      <xdr:rowOff>180974</xdr:rowOff>
    </xdr:from>
    <xdr:to>
      <xdr:col>93</xdr:col>
      <xdr:colOff>176213</xdr:colOff>
      <xdr:row>85</xdr:row>
      <xdr:rowOff>180294</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80</xdr:col>
      <xdr:colOff>583066</xdr:colOff>
      <xdr:row>86</xdr:row>
      <xdr:rowOff>169408</xdr:rowOff>
    </xdr:from>
    <xdr:to>
      <xdr:col>93</xdr:col>
      <xdr:colOff>138113</xdr:colOff>
      <xdr:row>102</xdr:row>
      <xdr:rowOff>153079</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51</v>
      </c>
    </row>
    <row r="4" spans="2:2" x14ac:dyDescent="0.25">
      <c r="B4" t="s">
        <v>60</v>
      </c>
    </row>
    <row r="5" spans="2:2" x14ac:dyDescent="0.25">
      <c r="B5" t="s">
        <v>63</v>
      </c>
    </row>
    <row r="6" spans="2:2" x14ac:dyDescent="0.25">
      <c r="B6" t="s">
        <v>64</v>
      </c>
    </row>
    <row r="7" spans="2:2" x14ac:dyDescent="0.25">
      <c r="B7" t="s">
        <v>52</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6">
        <f>(AP25/E31) /Projections!B23</f>
        <v>42.857142857142847</v>
      </c>
      <c r="C17" s="97"/>
      <c r="D17" s="98"/>
      <c r="E17" s="92">
        <f>B17*2</f>
        <v>85.714285714285694</v>
      </c>
      <c r="F17" s="97"/>
      <c r="G17" s="92"/>
      <c r="H17" s="92">
        <f>E17*2</f>
        <v>171.42857142857139</v>
      </c>
      <c r="I17" s="97"/>
      <c r="J17" s="98"/>
      <c r="K17" s="89">
        <f>H17*2</f>
        <v>342.85714285714278</v>
      </c>
      <c r="L17" s="87"/>
      <c r="M17" s="88"/>
      <c r="N17" s="89">
        <f>K17*2</f>
        <v>685.71428571428555</v>
      </c>
      <c r="O17" s="87"/>
      <c r="P17" s="88"/>
      <c r="Q17" s="89">
        <f>N17*2</f>
        <v>1371.4285714285711</v>
      </c>
      <c r="R17" s="87"/>
      <c r="S17" s="88"/>
      <c r="T17" s="89">
        <f>Q17*2</f>
        <v>2742.8571428571422</v>
      </c>
      <c r="U17" s="87"/>
      <c r="V17" s="88"/>
      <c r="W17" s="89">
        <f>T17*2</f>
        <v>5485.7142857142844</v>
      </c>
      <c r="X17" s="87"/>
      <c r="Y17" s="88"/>
      <c r="Z17" s="89">
        <f>W17*2</f>
        <v>10971.428571428569</v>
      </c>
      <c r="AA17" s="87"/>
      <c r="AB17" s="88"/>
      <c r="AC17" s="89">
        <f>Z17*2</f>
        <v>21942.857142857138</v>
      </c>
      <c r="AD17" s="87"/>
      <c r="AE17" s="88"/>
      <c r="AF17" s="89">
        <f>AC17*2</f>
        <v>43885.714285714275</v>
      </c>
      <c r="AG17" s="87"/>
      <c r="AH17" s="88"/>
      <c r="AI17" s="89">
        <f>AF17*2</f>
        <v>87771.428571428551</v>
      </c>
      <c r="AJ17" s="87"/>
      <c r="AK17" s="88"/>
      <c r="AL17" s="89">
        <f>AI17*2</f>
        <v>175542.8571428571</v>
      </c>
      <c r="AM17" s="87"/>
      <c r="AN17" s="88"/>
      <c r="AO17" s="89">
        <f>AL17*2</f>
        <v>351085.7142857142</v>
      </c>
      <c r="AP17" s="92"/>
      <c r="AQ17" t="s">
        <v>90</v>
      </c>
    </row>
    <row r="18" spans="1:43" s="66" customFormat="1" x14ac:dyDescent="0.25">
      <c r="A18" t="s">
        <v>164</v>
      </c>
      <c r="B18" s="82">
        <f>B17*$E$34</f>
        <v>14.285714285714279</v>
      </c>
      <c r="C18" s="99"/>
      <c r="D18" s="99"/>
      <c r="E18" s="99">
        <f>E17*$E$34</f>
        <v>28.571428571428559</v>
      </c>
      <c r="F18" s="99"/>
      <c r="G18" s="33"/>
      <c r="H18" s="99">
        <f>H17*$E$34</f>
        <v>57.142857142857117</v>
      </c>
      <c r="I18" s="99"/>
      <c r="J18" s="99"/>
      <c r="K18" s="99">
        <f>K17*$E$34</f>
        <v>114.28571428571423</v>
      </c>
      <c r="L18" s="99"/>
      <c r="M18" s="99"/>
      <c r="N18" s="99">
        <f>N17*$E$34</f>
        <v>228.57142857142847</v>
      </c>
      <c r="O18" s="99"/>
      <c r="P18" s="99"/>
      <c r="Q18" s="99">
        <f>Q17*$E$34</f>
        <v>457.14285714285694</v>
      </c>
      <c r="R18" s="99"/>
      <c r="S18" s="99"/>
      <c r="T18" s="99">
        <f>T17*$E$34</f>
        <v>914.28571428571388</v>
      </c>
      <c r="U18" s="99"/>
      <c r="V18" s="99"/>
      <c r="W18" s="99">
        <f>W17*$E$34</f>
        <v>1828.5714285714278</v>
      </c>
      <c r="X18" s="99"/>
      <c r="Y18" s="99"/>
      <c r="Z18" s="99">
        <f>Z17*$E$34</f>
        <v>3657.1428571428555</v>
      </c>
      <c r="AA18" s="99"/>
      <c r="AB18" s="99"/>
      <c r="AC18" s="99">
        <f>AC17*$E$34</f>
        <v>7314.285714285711</v>
      </c>
      <c r="AD18" s="99"/>
      <c r="AE18" s="99"/>
      <c r="AF18" s="99">
        <f>AF17*$E$34</f>
        <v>14628.571428571422</v>
      </c>
      <c r="AG18" s="99"/>
      <c r="AH18" s="99"/>
      <c r="AI18" s="99">
        <f>AI17*$E$34</f>
        <v>29257.142857142844</v>
      </c>
      <c r="AJ18" s="99"/>
      <c r="AK18" s="99"/>
      <c r="AL18" s="99">
        <f>AL17*$E$34</f>
        <v>58514.285714285688</v>
      </c>
      <c r="AM18" s="99"/>
      <c r="AN18" s="99"/>
      <c r="AO18" s="99">
        <f>AO17*$E$34</f>
        <v>117028.57142857138</v>
      </c>
      <c r="AP18" s="33"/>
      <c r="AQ18" t="s">
        <v>164</v>
      </c>
    </row>
    <row r="19" spans="1:43" s="66" customFormat="1" x14ac:dyDescent="0.25">
      <c r="A19" t="s">
        <v>166</v>
      </c>
      <c r="B19" s="80">
        <f>B18</f>
        <v>14.285714285714279</v>
      </c>
      <c r="C19" s="81"/>
      <c r="D19" s="81"/>
      <c r="E19" s="81">
        <f>E18</f>
        <v>28.571428571428559</v>
      </c>
      <c r="F19" s="81"/>
      <c r="G19" s="34"/>
      <c r="H19" s="81">
        <f>H18</f>
        <v>57.142857142857117</v>
      </c>
      <c r="I19" s="81"/>
      <c r="J19" s="81"/>
      <c r="K19" s="81">
        <f>K18</f>
        <v>114.28571428571423</v>
      </c>
      <c r="L19" s="81"/>
      <c r="M19" s="81"/>
      <c r="N19" s="81">
        <f>N18</f>
        <v>228.57142857142847</v>
      </c>
      <c r="O19" s="81"/>
      <c r="P19" s="81"/>
      <c r="Q19" s="81">
        <f>Q18</f>
        <v>457.14285714285694</v>
      </c>
      <c r="R19" s="81"/>
      <c r="S19" s="81"/>
      <c r="T19" s="81">
        <f>T18</f>
        <v>914.28571428571388</v>
      </c>
      <c r="U19" s="81"/>
      <c r="V19" s="81"/>
      <c r="W19" s="115">
        <f>W18-B18</f>
        <v>1814.2857142857135</v>
      </c>
      <c r="X19" s="115"/>
      <c r="Y19" s="115"/>
      <c r="Z19" s="115">
        <f>Z18-E18</f>
        <v>3628.5714285714271</v>
      </c>
      <c r="AA19" s="115"/>
      <c r="AB19" s="115"/>
      <c r="AC19" s="115">
        <f>AC18-H18</f>
        <v>7257.1428571428542</v>
      </c>
      <c r="AD19" s="115"/>
      <c r="AE19" s="115"/>
      <c r="AF19" s="115">
        <f>AF18-K18</f>
        <v>14514.285714285708</v>
      </c>
      <c r="AG19" s="115"/>
      <c r="AH19" s="115"/>
      <c r="AI19" s="115">
        <f>AI18-N18</f>
        <v>29028.571428571417</v>
      </c>
      <c r="AJ19" s="115"/>
      <c r="AK19" s="115"/>
      <c r="AL19" s="115">
        <f>AL18-Q18</f>
        <v>58057.142857142833</v>
      </c>
      <c r="AM19" s="115"/>
      <c r="AN19" s="115"/>
      <c r="AO19" s="115">
        <f>AO18-T18</f>
        <v>116114.28571428567</v>
      </c>
      <c r="AP19" s="116"/>
      <c r="AQ19" t="s">
        <v>166</v>
      </c>
    </row>
    <row r="20" spans="1:43" s="66" customFormat="1" x14ac:dyDescent="0.25">
      <c r="A20" t="s">
        <v>91</v>
      </c>
      <c r="B20" s="82"/>
      <c r="C20" s="99"/>
      <c r="D20" s="99"/>
      <c r="E20" s="99"/>
      <c r="F20" s="99"/>
      <c r="G20" s="33"/>
      <c r="H20" s="100"/>
      <c r="I20" s="101"/>
      <c r="J20" s="102"/>
      <c r="K20" s="125">
        <f>B17*(1-$E$34)</f>
        <v>28.571428571428569</v>
      </c>
      <c r="L20" s="122"/>
      <c r="M20" s="123"/>
      <c r="N20" s="124">
        <f>E17*(1-$E$34)</f>
        <v>57.142857142857139</v>
      </c>
      <c r="O20" s="122"/>
      <c r="P20" s="123"/>
      <c r="Q20" s="124">
        <f>H17*(1-$E$34)</f>
        <v>114.28571428571428</v>
      </c>
      <c r="R20" s="122"/>
      <c r="S20" s="123"/>
      <c r="T20" s="124">
        <f>K17*(1-$E$34)</f>
        <v>228.57142857142856</v>
      </c>
      <c r="U20" s="122"/>
      <c r="V20" s="123"/>
      <c r="W20" s="124">
        <f>N17*(1-$E$34)</f>
        <v>457.14285714285711</v>
      </c>
      <c r="X20" s="122"/>
      <c r="Y20" s="123"/>
      <c r="Z20" s="124">
        <f>Q17*(1-$E$34)</f>
        <v>914.28571428571422</v>
      </c>
      <c r="AA20" s="122"/>
      <c r="AB20" s="123"/>
      <c r="AC20" s="124">
        <f>T17*(1-$E$34)</f>
        <v>1828.5714285714284</v>
      </c>
      <c r="AD20" s="122"/>
      <c r="AE20" s="123"/>
      <c r="AF20" s="124">
        <f>W17*(1-$E$34)</f>
        <v>3657.1428571428569</v>
      </c>
      <c r="AG20" s="122"/>
      <c r="AH20" s="123"/>
      <c r="AI20" s="124">
        <f>Z17*(1-$E$34)</f>
        <v>7314.2857142857138</v>
      </c>
      <c r="AJ20" s="122"/>
      <c r="AK20" s="123"/>
      <c r="AL20" s="124">
        <f>AC17*(1-$E$34)</f>
        <v>14628.571428571428</v>
      </c>
      <c r="AM20" s="122"/>
      <c r="AN20" s="123"/>
      <c r="AO20" s="124">
        <f>AF17*(1-$E$34)</f>
        <v>29257.142857142855</v>
      </c>
      <c r="AP20" s="73"/>
      <c r="AQ20" t="s">
        <v>91</v>
      </c>
    </row>
    <row r="21" spans="1:43" s="66" customFormat="1" x14ac:dyDescent="0.25">
      <c r="A21" s="66" t="s">
        <v>72</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72</v>
      </c>
    </row>
    <row r="22" spans="1:43" s="66" customFormat="1" x14ac:dyDescent="0.25">
      <c r="A22" s="66" t="s">
        <v>73</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73</v>
      </c>
    </row>
    <row r="23" spans="1:43" s="66" customFormat="1" x14ac:dyDescent="0.25">
      <c r="A23" s="47" t="s">
        <v>74</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74</v>
      </c>
    </row>
    <row r="24" spans="1:43" s="66" customFormat="1" x14ac:dyDescent="0.25">
      <c r="A24" s="47" t="s">
        <v>79</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79</v>
      </c>
    </row>
    <row r="25" spans="1:43" x14ac:dyDescent="0.25">
      <c r="A25" s="47" t="s">
        <v>68</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68</v>
      </c>
    </row>
    <row r="26" spans="1:43" x14ac:dyDescent="0.25">
      <c r="A26" s="127" t="s">
        <v>95</v>
      </c>
      <c r="B26" s="83">
        <f t="shared" ref="B26:G26" ca="1" si="0">C26-1</f>
        <v>44216.879480439813</v>
      </c>
      <c r="C26" s="84">
        <f t="shared" ca="1" si="0"/>
        <v>44217.879480439813</v>
      </c>
      <c r="D26" s="84">
        <f t="shared" ca="1" si="0"/>
        <v>44218.879480439813</v>
      </c>
      <c r="E26" s="84">
        <f t="shared" ca="1" si="0"/>
        <v>44219.879480439813</v>
      </c>
      <c r="F26" s="84">
        <f t="shared" ca="1" si="0"/>
        <v>44220.879480439813</v>
      </c>
      <c r="G26" s="85">
        <f t="shared" ca="1" si="0"/>
        <v>44221.879480439813</v>
      </c>
      <c r="H26" s="84">
        <f t="shared" ref="H26:U26" ca="1" si="1">I26-1</f>
        <v>44222.879480439813</v>
      </c>
      <c r="I26" s="84">
        <f t="shared" ca="1" si="1"/>
        <v>44223.879480439813</v>
      </c>
      <c r="J26" s="84">
        <f t="shared" ca="1" si="1"/>
        <v>44224.879480439813</v>
      </c>
      <c r="K26" s="84">
        <f t="shared" ca="1" si="1"/>
        <v>44225.879480439813</v>
      </c>
      <c r="L26" s="84">
        <f t="shared" ca="1" si="1"/>
        <v>44226.879480439813</v>
      </c>
      <c r="M26" s="84">
        <f t="shared" ca="1" si="1"/>
        <v>44227.879480439813</v>
      </c>
      <c r="N26" s="85">
        <f t="shared" ca="1" si="1"/>
        <v>44228.879480439813</v>
      </c>
      <c r="O26" s="83">
        <f t="shared" ca="1" si="1"/>
        <v>44229.879480439813</v>
      </c>
      <c r="P26" s="84">
        <f t="shared" ca="1" si="1"/>
        <v>44230.879480439813</v>
      </c>
      <c r="Q26" s="84">
        <f t="shared" ca="1" si="1"/>
        <v>44231.879480439813</v>
      </c>
      <c r="R26" s="84">
        <f t="shared" ca="1" si="1"/>
        <v>44232.879480439813</v>
      </c>
      <c r="S26" s="84">
        <f t="shared" ca="1" si="1"/>
        <v>44233.879480439813</v>
      </c>
      <c r="T26" s="84">
        <f t="shared" ca="1" si="1"/>
        <v>44234.879480439813</v>
      </c>
      <c r="U26" s="85">
        <f t="shared" ca="1" si="1"/>
        <v>44235.879480439813</v>
      </c>
      <c r="V26" s="83">
        <f t="shared" ref="V26:AN26" ca="1" si="2">W26-1</f>
        <v>44236.879480439813</v>
      </c>
      <c r="W26" s="84">
        <f t="shared" ca="1" si="2"/>
        <v>44237.879480439813</v>
      </c>
      <c r="X26" s="84">
        <f t="shared" ca="1" si="2"/>
        <v>44238.879480439813</v>
      </c>
      <c r="Y26" s="84">
        <f t="shared" ca="1" si="2"/>
        <v>44239.879480439813</v>
      </c>
      <c r="Z26" s="84">
        <f t="shared" ca="1" si="2"/>
        <v>44240.879480439813</v>
      </c>
      <c r="AA26" s="84">
        <f t="shared" ca="1" si="2"/>
        <v>44241.879480439813</v>
      </c>
      <c r="AB26" s="85">
        <f t="shared" ca="1" si="2"/>
        <v>44242.879480439813</v>
      </c>
      <c r="AC26" s="83">
        <f t="shared" ca="1" si="2"/>
        <v>44243.879480439813</v>
      </c>
      <c r="AD26" s="84">
        <f t="shared" ca="1" si="2"/>
        <v>44244.879480439813</v>
      </c>
      <c r="AE26" s="84">
        <f t="shared" ca="1" si="2"/>
        <v>44245.879480439813</v>
      </c>
      <c r="AF26" s="84">
        <f t="shared" ca="1" si="2"/>
        <v>44246.879480439813</v>
      </c>
      <c r="AG26" s="84">
        <f t="shared" ca="1" si="2"/>
        <v>44247.879480439813</v>
      </c>
      <c r="AH26" s="84">
        <f t="shared" ca="1" si="2"/>
        <v>44248.879480439813</v>
      </c>
      <c r="AI26" s="85">
        <f t="shared" ca="1" si="2"/>
        <v>44249.879480439813</v>
      </c>
      <c r="AJ26" s="83">
        <f t="shared" ca="1" si="2"/>
        <v>44250.879480439813</v>
      </c>
      <c r="AK26" s="84">
        <f t="shared" ca="1" si="2"/>
        <v>44251.879480439813</v>
      </c>
      <c r="AL26" s="84">
        <f t="shared" ca="1" si="2"/>
        <v>44252.879480439813</v>
      </c>
      <c r="AM26" s="84">
        <f t="shared" ca="1" si="2"/>
        <v>44253.879480439813</v>
      </c>
      <c r="AN26" s="84">
        <f t="shared" ca="1" si="2"/>
        <v>44254.879480439813</v>
      </c>
      <c r="AO26" s="84">
        <f ca="1">AP26-1</f>
        <v>44255.879480439813</v>
      </c>
      <c r="AP26" s="105">
        <f ca="1">NOW()</f>
        <v>44256.879480439813</v>
      </c>
    </row>
    <row r="27" spans="1:43" x14ac:dyDescent="0.25">
      <c r="A27" s="128" t="s">
        <v>96</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97</v>
      </c>
      <c r="B28" s="295" t="s">
        <v>66</v>
      </c>
      <c r="C28" s="296"/>
      <c r="D28" s="296"/>
      <c r="E28" s="296"/>
      <c r="F28" s="296"/>
      <c r="G28" s="297"/>
      <c r="H28" s="301" t="s">
        <v>55</v>
      </c>
      <c r="I28" s="301"/>
      <c r="J28" s="301"/>
      <c r="K28" s="301"/>
      <c r="L28" s="301"/>
      <c r="M28" s="301"/>
      <c r="N28" s="302"/>
      <c r="O28" s="300" t="s">
        <v>56</v>
      </c>
      <c r="P28" s="301"/>
      <c r="Q28" s="301"/>
      <c r="R28" s="301"/>
      <c r="S28" s="301"/>
      <c r="T28" s="301"/>
      <c r="U28" s="302"/>
      <c r="V28" s="300" t="s">
        <v>57</v>
      </c>
      <c r="W28" s="301"/>
      <c r="X28" s="301"/>
      <c r="Y28" s="301"/>
      <c r="Z28" s="301"/>
      <c r="AA28" s="301"/>
      <c r="AB28" s="302"/>
      <c r="AC28" s="300" t="s">
        <v>58</v>
      </c>
      <c r="AD28" s="301"/>
      <c r="AE28" s="301"/>
      <c r="AF28" s="301"/>
      <c r="AG28" s="301"/>
      <c r="AH28" s="301"/>
      <c r="AI28" s="302"/>
      <c r="AJ28" s="300" t="s">
        <v>59</v>
      </c>
      <c r="AK28" s="301"/>
      <c r="AL28" s="301"/>
      <c r="AM28" s="301"/>
      <c r="AN28" s="301"/>
      <c r="AO28" s="301"/>
      <c r="AP28" s="302"/>
    </row>
    <row r="29" spans="1:43" x14ac:dyDescent="0.25">
      <c r="B29" s="51" t="s">
        <v>78</v>
      </c>
      <c r="C29" s="90"/>
      <c r="D29" s="90"/>
      <c r="E29" s="90"/>
      <c r="F29" s="90"/>
      <c r="G29" s="91"/>
      <c r="H29" s="298" t="s">
        <v>65</v>
      </c>
      <c r="I29" s="298"/>
      <c r="J29" s="298"/>
      <c r="K29" s="298"/>
      <c r="L29" s="298"/>
      <c r="M29" s="298"/>
      <c r="N29" s="298"/>
      <c r="O29" s="298"/>
      <c r="P29" s="298"/>
      <c r="Q29" s="298"/>
      <c r="R29" s="298"/>
      <c r="S29" s="298"/>
      <c r="T29" s="298"/>
      <c r="U29" s="298"/>
      <c r="V29" s="298"/>
      <c r="W29" s="298"/>
      <c r="X29" s="298"/>
      <c r="Y29" s="298"/>
      <c r="Z29" s="298"/>
      <c r="AA29" s="298"/>
      <c r="AB29" s="298"/>
      <c r="AC29" s="298"/>
      <c r="AD29" s="298"/>
      <c r="AE29" s="298"/>
      <c r="AF29" s="298"/>
      <c r="AG29" s="298"/>
      <c r="AH29" s="298"/>
      <c r="AI29" s="298"/>
      <c r="AJ29" s="298"/>
      <c r="AK29" s="298"/>
      <c r="AL29" s="298"/>
      <c r="AM29" s="298"/>
      <c r="AN29" s="298"/>
      <c r="AO29" s="298"/>
      <c r="AP29" s="299"/>
    </row>
    <row r="31" spans="1:43" x14ac:dyDescent="0.25">
      <c r="B31" s="56" t="s">
        <v>67</v>
      </c>
      <c r="C31" s="132" t="s">
        <v>88</v>
      </c>
      <c r="D31" s="9"/>
      <c r="E31" s="79">
        <f>VLOOKUP(C31,B43:C54,2,FALSE)</f>
        <v>3.5000000000000003E-2</v>
      </c>
      <c r="F31" s="9"/>
      <c r="G31" s="9"/>
      <c r="H31" s="9"/>
      <c r="I31" s="5"/>
    </row>
    <row r="32" spans="1:43" x14ac:dyDescent="0.25">
      <c r="B32" s="41" t="s">
        <v>94</v>
      </c>
      <c r="C32" s="16"/>
      <c r="D32" s="16"/>
      <c r="E32" s="133">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4">
        <f>1-Projections!B23</f>
        <v>0.33333333333333326</v>
      </c>
      <c r="F34" s="16" t="s">
        <v>197</v>
      </c>
      <c r="G34" s="16"/>
      <c r="H34" s="16"/>
      <c r="I34" s="17"/>
    </row>
    <row r="35" spans="2:9" x14ac:dyDescent="0.25">
      <c r="B35" s="41" t="s">
        <v>75</v>
      </c>
      <c r="C35" s="16"/>
      <c r="D35" s="16"/>
      <c r="E35" s="134">
        <v>0.81</v>
      </c>
      <c r="F35" s="16" t="s">
        <v>93</v>
      </c>
      <c r="G35" s="16"/>
      <c r="H35" s="16"/>
      <c r="I35" s="17"/>
    </row>
    <row r="36" spans="2:9" x14ac:dyDescent="0.25">
      <c r="B36" s="41" t="s">
        <v>76</v>
      </c>
      <c r="C36" s="16"/>
      <c r="D36" s="16"/>
      <c r="E36" s="134">
        <v>0.14000000000000001</v>
      </c>
      <c r="F36" s="16" t="s">
        <v>93</v>
      </c>
      <c r="G36" s="16"/>
      <c r="H36" s="16"/>
      <c r="I36" s="17"/>
    </row>
    <row r="37" spans="2:9" x14ac:dyDescent="0.25">
      <c r="B37" s="41" t="s">
        <v>77</v>
      </c>
      <c r="C37" s="16"/>
      <c r="D37" s="16"/>
      <c r="E37" s="134">
        <v>0.05</v>
      </c>
      <c r="F37" s="16" t="s">
        <v>93</v>
      </c>
      <c r="G37" s="16"/>
      <c r="H37" s="16"/>
      <c r="I37" s="17"/>
    </row>
    <row r="38" spans="2:9" x14ac:dyDescent="0.25">
      <c r="B38" s="41" t="s">
        <v>80</v>
      </c>
      <c r="C38" s="16"/>
      <c r="D38" s="16"/>
      <c r="E38" s="130">
        <v>2</v>
      </c>
      <c r="F38" s="16" t="s">
        <v>81</v>
      </c>
      <c r="G38" s="16"/>
      <c r="H38" s="16"/>
      <c r="I38" s="17"/>
    </row>
    <row r="39" spans="2:9" x14ac:dyDescent="0.25">
      <c r="B39" s="37" t="s">
        <v>82</v>
      </c>
      <c r="C39" s="131"/>
      <c r="D39" s="39"/>
      <c r="E39" s="110">
        <v>4</v>
      </c>
      <c r="F39" s="39" t="s">
        <v>81</v>
      </c>
      <c r="G39" s="39" t="s">
        <v>83</v>
      </c>
      <c r="H39" s="39"/>
      <c r="I39" s="62"/>
    </row>
    <row r="42" spans="2:9" x14ac:dyDescent="0.25">
      <c r="B42" t="s">
        <v>89</v>
      </c>
    </row>
    <row r="43" spans="2:9" x14ac:dyDescent="0.25">
      <c r="B43" s="4" t="s">
        <v>88</v>
      </c>
      <c r="C43" s="109">
        <v>3.5000000000000003E-2</v>
      </c>
    </row>
    <row r="44" spans="2:9" x14ac:dyDescent="0.25">
      <c r="B44" s="41" t="s">
        <v>87</v>
      </c>
      <c r="C44" s="27">
        <v>2.3E-2</v>
      </c>
    </row>
    <row r="45" spans="2:9" x14ac:dyDescent="0.25">
      <c r="B45" s="41" t="s">
        <v>196</v>
      </c>
      <c r="C45" s="27">
        <f>Projections!B30</f>
        <v>1.4999999999999999E-2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R109"/>
  <sheetViews>
    <sheetView tabSelected="1" topLeftCell="AD25" zoomScale="90" zoomScaleNormal="90" workbookViewId="0">
      <selection activeCell="AO64" sqref="AO64"/>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5" width="11.28515625" customWidth="1"/>
    <col min="16" max="16" width="10.7109375" customWidth="1"/>
    <col min="17" max="17" width="11.42578125" customWidth="1"/>
    <col min="18" max="18" width="11.28515625" customWidth="1"/>
    <col min="19" max="19" width="11.85546875" customWidth="1"/>
    <col min="20" max="21" width="11.42578125" customWidth="1"/>
    <col min="22" max="22" width="11.28515625" bestFit="1" customWidth="1"/>
    <col min="23" max="23" width="11" customWidth="1"/>
    <col min="24" max="24" width="11.85546875" customWidth="1"/>
    <col min="25" max="25" width="11.28515625" customWidth="1"/>
    <col min="26" max="26" width="11.7109375" customWidth="1"/>
    <col min="27" max="27" width="12.28515625" customWidth="1"/>
    <col min="28" max="28" width="11.85546875" customWidth="1"/>
    <col min="29" max="30" width="11.28515625" customWidth="1"/>
    <col min="31" max="31" width="11.7109375" customWidth="1"/>
    <col min="32" max="32" width="12.140625" customWidth="1"/>
    <col min="33" max="37" width="11.7109375" customWidth="1"/>
    <col min="38" max="42" width="11.28515625" customWidth="1"/>
    <col min="43" max="47" width="12" customWidth="1"/>
    <col min="48" max="48" width="14.140625" bestFit="1" customWidth="1"/>
    <col min="49" max="52" width="14.140625" customWidth="1"/>
    <col min="53" max="53" width="13.85546875" customWidth="1"/>
    <col min="54" max="57" width="12.5703125" customWidth="1"/>
    <col min="58" max="62" width="13.7109375" customWidth="1"/>
    <col min="63" max="63" width="13.28515625" bestFit="1" customWidth="1"/>
    <col min="64" max="64" width="14.7109375" customWidth="1"/>
    <col min="65" max="65" width="14" customWidth="1"/>
    <col min="66" max="66" width="14.28515625" customWidth="1"/>
    <col min="67" max="67" width="13.42578125" style="66" customWidth="1"/>
    <col min="68" max="68" width="11.140625" bestFit="1" customWidth="1"/>
    <col min="69" max="69" width="12.140625" bestFit="1" customWidth="1"/>
  </cols>
  <sheetData>
    <row r="1" spans="17:37" x14ac:dyDescent="0.25">
      <c r="Q1" t="s">
        <v>115</v>
      </c>
    </row>
    <row r="2" spans="17:37" x14ac:dyDescent="0.25">
      <c r="Q2" s="147">
        <v>43903</v>
      </c>
      <c r="R2" s="148" t="s">
        <v>189</v>
      </c>
      <c r="S2" s="148"/>
      <c r="T2" s="147">
        <v>43917</v>
      </c>
      <c r="Y2" s="66"/>
      <c r="Z2" s="66"/>
      <c r="AA2" s="66"/>
      <c r="AB2" s="66"/>
      <c r="AC2" s="66"/>
      <c r="AD2" s="66"/>
    </row>
    <row r="3" spans="17:37" x14ac:dyDescent="0.25">
      <c r="Q3" s="66"/>
      <c r="R3" s="147">
        <v>43906</v>
      </c>
      <c r="S3" s="148" t="s">
        <v>188</v>
      </c>
      <c r="T3" s="148"/>
      <c r="U3" s="147">
        <v>43920</v>
      </c>
      <c r="V3" s="66"/>
      <c r="W3" s="66"/>
      <c r="X3" s="66"/>
      <c r="Y3" s="154"/>
      <c r="Z3" s="66"/>
      <c r="AA3" s="66"/>
      <c r="AB3" s="66"/>
      <c r="AC3" s="66"/>
      <c r="AD3" s="66"/>
    </row>
    <row r="4" spans="17:37" x14ac:dyDescent="0.25">
      <c r="Q4" s="66"/>
      <c r="R4" s="154"/>
      <c r="S4" s="147">
        <v>43912</v>
      </c>
      <c r="T4" s="148" t="s">
        <v>201</v>
      </c>
      <c r="U4" s="147"/>
      <c r="V4" s="148"/>
      <c r="W4" s="147">
        <v>43926</v>
      </c>
      <c r="X4" s="66"/>
      <c r="Y4" s="66"/>
      <c r="Z4" s="66"/>
      <c r="AA4" s="66"/>
      <c r="AB4" s="66"/>
      <c r="AC4" s="66"/>
      <c r="AD4" s="66"/>
    </row>
    <row r="5" spans="17:37" x14ac:dyDescent="0.25">
      <c r="Q5" s="66"/>
      <c r="R5" s="154"/>
      <c r="S5" s="154"/>
      <c r="T5" s="147">
        <v>43914</v>
      </c>
      <c r="U5" s="148" t="s">
        <v>200</v>
      </c>
      <c r="V5" s="147"/>
      <c r="W5" s="147">
        <v>43928</v>
      </c>
      <c r="X5" s="66"/>
      <c r="Y5" s="66"/>
      <c r="Z5" s="66"/>
      <c r="AA5" s="66"/>
      <c r="AB5" s="66"/>
      <c r="AC5" s="66"/>
      <c r="AD5" s="66"/>
    </row>
    <row r="6" spans="17:37" x14ac:dyDescent="0.25">
      <c r="Q6" s="66"/>
      <c r="R6" s="154"/>
      <c r="S6" s="154"/>
      <c r="T6" s="154"/>
      <c r="U6" s="66"/>
      <c r="V6" s="147">
        <v>43923</v>
      </c>
      <c r="W6" s="147" t="s">
        <v>218</v>
      </c>
      <c r="X6" s="148"/>
      <c r="Y6" s="148"/>
    </row>
    <row r="7" spans="17:37" x14ac:dyDescent="0.25">
      <c r="Q7" s="66"/>
      <c r="R7" s="66"/>
      <c r="S7" s="154"/>
      <c r="T7" s="66"/>
      <c r="U7" s="66"/>
      <c r="V7" s="66"/>
      <c r="W7" s="154"/>
      <c r="X7" s="147">
        <v>43934</v>
      </c>
      <c r="Y7" s="148" t="s">
        <v>198</v>
      </c>
      <c r="Z7" s="147"/>
      <c r="AA7" s="148"/>
      <c r="AB7" s="148"/>
      <c r="AC7" s="154"/>
      <c r="AD7" s="154"/>
    </row>
    <row r="8" spans="17:37" x14ac:dyDescent="0.25">
      <c r="Q8" s="66"/>
      <c r="R8" s="66"/>
      <c r="S8" s="66"/>
      <c r="T8" s="154"/>
      <c r="U8" s="47"/>
      <c r="V8" s="47"/>
      <c r="W8" s="154"/>
      <c r="X8" s="154">
        <v>43935</v>
      </c>
      <c r="Y8" s="66" t="s">
        <v>202</v>
      </c>
      <c r="Z8" s="260"/>
      <c r="AA8" s="260"/>
      <c r="AB8" s="261"/>
      <c r="AC8" s="154"/>
      <c r="AD8" s="154"/>
    </row>
    <row r="9" spans="17:37" x14ac:dyDescent="0.25">
      <c r="Q9" s="66"/>
      <c r="R9" s="66"/>
      <c r="S9" s="154"/>
      <c r="T9" s="154"/>
      <c r="U9" s="154"/>
      <c r="V9" s="66"/>
      <c r="W9" s="66"/>
      <c r="Y9" s="260">
        <v>43941</v>
      </c>
      <c r="Z9" s="261" t="s">
        <v>203</v>
      </c>
      <c r="AC9" s="66"/>
      <c r="AD9" s="154"/>
      <c r="AE9" s="66"/>
      <c r="AF9" s="66"/>
    </row>
    <row r="10" spans="17:37" x14ac:dyDescent="0.25">
      <c r="Q10" s="66"/>
      <c r="R10" s="66"/>
      <c r="S10" s="66"/>
      <c r="T10" s="66"/>
      <c r="U10" s="154"/>
      <c r="V10" s="66"/>
      <c r="W10" s="66"/>
      <c r="X10" s="154"/>
      <c r="Y10" s="260">
        <v>43946</v>
      </c>
      <c r="Z10" s="261" t="s">
        <v>204</v>
      </c>
      <c r="AA10" s="66"/>
      <c r="AB10" s="154"/>
      <c r="AC10" s="66"/>
      <c r="AD10" s="66"/>
      <c r="AE10" s="66"/>
      <c r="AF10" s="66"/>
    </row>
    <row r="11" spans="17:37" x14ac:dyDescent="0.25">
      <c r="Q11" s="66"/>
      <c r="R11" s="66"/>
      <c r="S11" s="66"/>
      <c r="T11" s="66"/>
      <c r="U11" s="66"/>
      <c r="V11" s="140"/>
      <c r="W11" s="66"/>
      <c r="X11" s="154"/>
      <c r="Y11" s="66"/>
      <c r="Z11" s="147">
        <v>43952</v>
      </c>
      <c r="AA11" s="148" t="s">
        <v>205</v>
      </c>
      <c r="AB11" s="147"/>
      <c r="AC11" s="66"/>
      <c r="AD11" s="66"/>
      <c r="AE11" s="66"/>
      <c r="AF11" s="66"/>
    </row>
    <row r="12" spans="17:37" x14ac:dyDescent="0.25">
      <c r="Q12" s="66"/>
      <c r="R12" s="66"/>
      <c r="S12" s="66"/>
      <c r="T12" s="66"/>
      <c r="U12" s="47"/>
      <c r="V12" s="66"/>
      <c r="W12" s="154"/>
      <c r="X12" s="219"/>
      <c r="Y12" s="154"/>
      <c r="Z12" s="200">
        <v>43952</v>
      </c>
      <c r="AA12" t="s">
        <v>212</v>
      </c>
      <c r="AE12" s="66"/>
      <c r="AF12" s="66"/>
    </row>
    <row r="13" spans="17:37" x14ac:dyDescent="0.25">
      <c r="T13" s="16"/>
      <c r="U13" s="16"/>
      <c r="V13" s="16"/>
      <c r="W13" s="246"/>
      <c r="X13" s="184"/>
      <c r="Y13" s="16"/>
      <c r="Z13" s="260">
        <v>43955</v>
      </c>
      <c r="AA13" s="261" t="s">
        <v>207</v>
      </c>
      <c r="AB13" s="260"/>
      <c r="AC13" s="66"/>
      <c r="AD13" s="66"/>
      <c r="AE13" s="66"/>
      <c r="AF13" s="66"/>
    </row>
    <row r="14" spans="17:37" x14ac:dyDescent="0.25">
      <c r="U14" s="246"/>
      <c r="V14" s="16"/>
      <c r="W14" s="16"/>
      <c r="X14" s="246"/>
      <c r="Y14" s="16"/>
      <c r="Z14" s="260">
        <v>43956</v>
      </c>
      <c r="AA14" s="261" t="s">
        <v>206</v>
      </c>
      <c r="AB14" s="260"/>
      <c r="AE14" s="66"/>
      <c r="AF14" s="66"/>
      <c r="AG14" s="200"/>
      <c r="AH14" s="200"/>
      <c r="AI14" s="200"/>
      <c r="AJ14" s="200"/>
      <c r="AK14" s="200"/>
    </row>
    <row r="15" spans="17:37" x14ac:dyDescent="0.25">
      <c r="X15" s="16"/>
      <c r="Y15" s="16"/>
      <c r="AA15" s="260">
        <v>43963</v>
      </c>
      <c r="AB15" s="260" t="s">
        <v>208</v>
      </c>
      <c r="AC15" s="260"/>
      <c r="AE15" s="66"/>
      <c r="AF15" s="66"/>
    </row>
    <row r="16" spans="17:37" x14ac:dyDescent="0.25">
      <c r="AA16" s="200">
        <v>43968</v>
      </c>
      <c r="AB16" t="s">
        <v>214</v>
      </c>
      <c r="AE16" s="154"/>
      <c r="AF16" s="66"/>
    </row>
    <row r="17" spans="1:67" x14ac:dyDescent="0.25">
      <c r="AA17" s="147">
        <v>43969</v>
      </c>
      <c r="AB17" s="148" t="s">
        <v>209</v>
      </c>
      <c r="AE17" s="66"/>
      <c r="AF17" s="66"/>
    </row>
    <row r="18" spans="1:67" x14ac:dyDescent="0.25">
      <c r="D18" s="154"/>
      <c r="E18" s="154"/>
      <c r="F18" s="66"/>
      <c r="G18" s="66"/>
      <c r="H18" s="66"/>
      <c r="I18" s="66"/>
      <c r="J18" s="66"/>
      <c r="K18" s="66"/>
      <c r="L18" s="66"/>
      <c r="M18" s="66"/>
      <c r="N18" s="154"/>
      <c r="O18" s="154"/>
      <c r="P18" s="66"/>
      <c r="AB18" s="260">
        <v>43974</v>
      </c>
      <c r="AC18" s="261" t="s">
        <v>213</v>
      </c>
      <c r="AF18" s="66"/>
    </row>
    <row r="19" spans="1:67" x14ac:dyDescent="0.25">
      <c r="D19" s="66"/>
      <c r="E19" s="66"/>
      <c r="F19" s="154"/>
      <c r="G19" s="154"/>
      <c r="H19" s="154"/>
      <c r="I19" s="154"/>
      <c r="J19" s="154"/>
      <c r="K19" s="154"/>
      <c r="L19" s="154"/>
      <c r="M19" s="154"/>
      <c r="N19" s="154"/>
      <c r="O19" s="154"/>
      <c r="P19" s="66"/>
      <c r="AB19" s="260">
        <v>43982</v>
      </c>
      <c r="AC19" s="261" t="s">
        <v>215</v>
      </c>
      <c r="AE19" s="66"/>
      <c r="AF19" s="66"/>
    </row>
    <row r="20" spans="1:67" x14ac:dyDescent="0.25">
      <c r="D20" s="66"/>
      <c r="E20" s="66"/>
      <c r="F20" s="66"/>
      <c r="G20" s="66"/>
      <c r="H20" s="66"/>
      <c r="I20" s="66"/>
      <c r="J20" s="66"/>
      <c r="K20" s="66"/>
      <c r="L20" s="66"/>
      <c r="M20" s="66"/>
      <c r="N20" s="66"/>
      <c r="O20" s="66"/>
      <c r="P20" s="154"/>
      <c r="AC20" s="200">
        <v>43994</v>
      </c>
      <c r="AD20" t="s">
        <v>217</v>
      </c>
    </row>
    <row r="21" spans="1:67" x14ac:dyDescent="0.25">
      <c r="A21" s="56" t="s">
        <v>176</v>
      </c>
      <c r="B21" s="258">
        <v>1392156000</v>
      </c>
      <c r="C21" t="s">
        <v>175</v>
      </c>
      <c r="D21" s="66"/>
      <c r="E21" s="66"/>
      <c r="F21" s="66"/>
      <c r="G21" s="66"/>
      <c r="H21" s="66"/>
      <c r="I21" s="66"/>
      <c r="J21" s="66"/>
      <c r="K21" s="66"/>
      <c r="L21" s="66"/>
      <c r="M21" s="66"/>
      <c r="N21" s="66"/>
      <c r="O21" s="66"/>
      <c r="P21" s="66"/>
      <c r="AC21" s="200">
        <v>43996</v>
      </c>
      <c r="AD21" t="s">
        <v>216</v>
      </c>
      <c r="AE21" s="200"/>
    </row>
    <row r="22" spans="1:67" x14ac:dyDescent="0.25">
      <c r="A22" s="56" t="s">
        <v>210</v>
      </c>
      <c r="B22" s="282">
        <v>0.01</v>
      </c>
      <c r="D22" s="66"/>
      <c r="E22" s="66"/>
      <c r="F22" s="66"/>
      <c r="G22" s="66"/>
      <c r="H22" s="66"/>
      <c r="I22" s="66"/>
      <c r="J22" s="66"/>
      <c r="K22" s="66"/>
      <c r="L22" s="66"/>
      <c r="M22" s="66"/>
      <c r="N22" s="66"/>
      <c r="O22" s="66"/>
      <c r="P22" s="66"/>
      <c r="AD22" s="147">
        <v>44009</v>
      </c>
      <c r="AE22" s="148" t="s">
        <v>220</v>
      </c>
    </row>
    <row r="23" spans="1:67" x14ac:dyDescent="0.25">
      <c r="A23" s="4" t="s">
        <v>112</v>
      </c>
      <c r="B23" s="145">
        <f>B22/B30</f>
        <v>0.66666666666666674</v>
      </c>
      <c r="C23" t="s">
        <v>211</v>
      </c>
      <c r="D23" s="66"/>
      <c r="E23" s="66"/>
      <c r="F23" s="66"/>
      <c r="G23" s="66"/>
      <c r="H23" s="66"/>
      <c r="I23" s="66"/>
      <c r="J23" s="66"/>
      <c r="K23" s="66"/>
      <c r="L23" s="66"/>
      <c r="M23" s="66"/>
      <c r="N23" s="66"/>
      <c r="O23" s="66"/>
      <c r="P23" s="66"/>
      <c r="AD23" s="200">
        <v>44018</v>
      </c>
      <c r="AE23" t="s">
        <v>219</v>
      </c>
    </row>
    <row r="24" spans="1:67" x14ac:dyDescent="0.25">
      <c r="A24" s="37" t="s">
        <v>114</v>
      </c>
      <c r="B24" s="108">
        <v>0.06</v>
      </c>
      <c r="C24" s="230"/>
      <c r="D24" s="66"/>
      <c r="E24" s="66"/>
      <c r="F24" s="66"/>
      <c r="G24" s="66"/>
      <c r="H24" s="66"/>
      <c r="I24" s="66"/>
      <c r="J24" s="66"/>
      <c r="K24" s="66"/>
      <c r="L24" s="66"/>
      <c r="M24" s="66"/>
      <c r="N24" s="66"/>
      <c r="O24" s="66"/>
      <c r="P24" s="66"/>
      <c r="AF24" s="200"/>
      <c r="AG24" s="200">
        <v>44081</v>
      </c>
      <c r="AH24" s="200"/>
      <c r="AI24" s="200"/>
      <c r="AJ24" s="200"/>
      <c r="AK24" s="200"/>
      <c r="AL24" s="165" t="s">
        <v>221</v>
      </c>
      <c r="AM24" s="165"/>
      <c r="AN24" s="165"/>
      <c r="AO24" s="165"/>
      <c r="AP24" s="165"/>
    </row>
    <row r="25" spans="1:67" x14ac:dyDescent="0.25">
      <c r="A25" s="41" t="s">
        <v>190</v>
      </c>
      <c r="B25" s="259">
        <v>0.53</v>
      </c>
      <c r="C25" s="63">
        <f>((B21/1000)*B25)-(((B21/1000)*B25)*B26)</f>
        <v>689882.90580000007</v>
      </c>
      <c r="D25" s="66" t="s">
        <v>193</v>
      </c>
      <c r="E25" s="66"/>
      <c r="F25" s="66"/>
      <c r="G25" s="66"/>
      <c r="H25" s="66"/>
      <c r="I25" s="66"/>
      <c r="J25" s="66"/>
      <c r="K25" s="66"/>
      <c r="L25" s="66"/>
      <c r="M25" s="66"/>
      <c r="N25" s="66"/>
      <c r="O25" s="66"/>
      <c r="P25" s="66"/>
    </row>
    <row r="26" spans="1:67" x14ac:dyDescent="0.25">
      <c r="A26" s="37" t="s">
        <v>191</v>
      </c>
      <c r="B26" s="262">
        <v>6.5000000000000002E-2</v>
      </c>
      <c r="C26" s="60">
        <f>((B21/1000)*B25)*B26</f>
        <v>47959.774200000007</v>
      </c>
      <c r="D26" s="156">
        <f>C26/(B21/100000)</f>
        <v>3.4450000000000007</v>
      </c>
      <c r="E26" s="66" t="s">
        <v>192</v>
      </c>
      <c r="F26" s="66"/>
      <c r="G26" s="66" t="s">
        <v>194</v>
      </c>
      <c r="H26" s="66"/>
      <c r="I26" s="66"/>
      <c r="J26" s="66"/>
      <c r="K26" s="66"/>
      <c r="L26" s="66"/>
      <c r="M26" s="66"/>
      <c r="N26" s="66"/>
      <c r="O26" s="66"/>
      <c r="P26" s="66"/>
    </row>
    <row r="27" spans="1:67" x14ac:dyDescent="0.25">
      <c r="A27" s="4" t="s">
        <v>72</v>
      </c>
      <c r="B27" s="106">
        <v>0.81</v>
      </c>
      <c r="C27" s="2"/>
      <c r="D27" s="66"/>
      <c r="E27" s="66"/>
      <c r="F27" s="66"/>
      <c r="G27" s="66"/>
      <c r="H27" s="66"/>
      <c r="I27" s="66"/>
      <c r="J27" s="66"/>
      <c r="K27" s="66"/>
      <c r="L27" s="66"/>
      <c r="M27" s="66"/>
      <c r="N27" s="66"/>
      <c r="O27" s="66"/>
      <c r="P27" s="66"/>
    </row>
    <row r="28" spans="1:67" x14ac:dyDescent="0.25">
      <c r="A28" s="41" t="s">
        <v>73</v>
      </c>
      <c r="B28" s="107">
        <v>0.14000000000000001</v>
      </c>
      <c r="C28" s="2"/>
      <c r="D28" s="66"/>
      <c r="E28" s="66"/>
      <c r="F28" s="66"/>
      <c r="G28" s="66"/>
      <c r="H28" s="66"/>
      <c r="I28" s="66"/>
      <c r="J28" s="66"/>
      <c r="K28" s="66"/>
      <c r="L28" s="66"/>
      <c r="M28" s="66"/>
      <c r="N28" s="66"/>
      <c r="O28" s="66"/>
      <c r="P28" s="66"/>
    </row>
    <row r="29" spans="1:67" x14ac:dyDescent="0.25">
      <c r="A29" s="37" t="s">
        <v>108</v>
      </c>
      <c r="B29" s="108">
        <v>0.05</v>
      </c>
      <c r="C29" s="2"/>
      <c r="D29" s="196" t="s">
        <v>168</v>
      </c>
      <c r="AQ29" s="289"/>
      <c r="AR29" s="289"/>
      <c r="AS29" s="289"/>
      <c r="AT29" s="289"/>
      <c r="AU29" s="289"/>
      <c r="AV29" s="289"/>
      <c r="AW29" s="289"/>
      <c r="AX29" s="289"/>
      <c r="AY29" s="289"/>
      <c r="AZ29" s="289"/>
      <c r="BA29" s="164"/>
      <c r="BB29" s="164"/>
      <c r="BC29" s="164"/>
      <c r="BD29" s="164"/>
      <c r="BE29" s="164"/>
      <c r="BF29" s="164"/>
      <c r="BG29" s="164"/>
      <c r="BH29" s="164"/>
      <c r="BI29" s="164"/>
      <c r="BJ29" s="164"/>
      <c r="BK29" s="164"/>
      <c r="BL29" s="164"/>
      <c r="BM29" s="164"/>
    </row>
    <row r="30" spans="1:67" x14ac:dyDescent="0.25">
      <c r="A30" s="37" t="s">
        <v>113</v>
      </c>
      <c r="B30" s="64">
        <v>1.4999999999999999E-2</v>
      </c>
      <c r="C30" s="2"/>
      <c r="D30" s="168" t="s">
        <v>160</v>
      </c>
      <c r="AH30" s="200"/>
      <c r="AI30" s="200"/>
      <c r="AJ30" s="200"/>
      <c r="AK30" s="200"/>
    </row>
    <row r="31" spans="1:67" x14ac:dyDescent="0.25">
      <c r="A31" s="143" t="s">
        <v>101</v>
      </c>
      <c r="B31" s="144">
        <v>43860</v>
      </c>
      <c r="C31" s="2"/>
      <c r="D31" s="264">
        <f>(BA34-P34)/(LOG(BA35/P35)/LOG(2))</f>
        <v>58.571428571428569</v>
      </c>
      <c r="E31" s="164"/>
      <c r="S31" s="16"/>
      <c r="T31" s="16"/>
      <c r="U31" s="16"/>
      <c r="V31" s="16"/>
      <c r="W31" s="16"/>
      <c r="X31" s="16"/>
      <c r="Y31" s="16"/>
      <c r="Z31" s="16"/>
      <c r="AA31" s="16"/>
      <c r="AB31" s="16"/>
      <c r="AC31" s="246"/>
      <c r="AD31" s="16"/>
      <c r="AE31" s="16"/>
      <c r="AM31" s="200"/>
    </row>
    <row r="32" spans="1:67" x14ac:dyDescent="0.25">
      <c r="A32" s="16"/>
      <c r="B32" s="50" t="s">
        <v>53</v>
      </c>
      <c r="C32" s="10"/>
      <c r="D32" s="16"/>
      <c r="E32" s="16"/>
      <c r="F32" s="16"/>
      <c r="G32" s="16"/>
      <c r="H32" s="16"/>
      <c r="I32" s="16"/>
      <c r="J32" s="16"/>
      <c r="K32" s="16"/>
      <c r="L32" s="16"/>
      <c r="M32" s="16"/>
      <c r="N32" s="16"/>
      <c r="O32" s="16"/>
      <c r="P32" s="16"/>
      <c r="Q32" s="16"/>
      <c r="R32" s="16"/>
      <c r="S32" s="16"/>
      <c r="T32" s="16"/>
      <c r="U32" s="16"/>
      <c r="V32" s="16"/>
      <c r="W32" s="16"/>
      <c r="AF32" s="16"/>
      <c r="AG32" s="16"/>
      <c r="AH32" s="16"/>
      <c r="AI32" s="16"/>
      <c r="AJ32" s="16"/>
      <c r="AK32" s="16"/>
      <c r="BL32" t="s">
        <v>169</v>
      </c>
      <c r="BO32" s="142"/>
    </row>
    <row r="33" spans="1:70" x14ac:dyDescent="0.25">
      <c r="A33" s="52" t="s">
        <v>41</v>
      </c>
      <c r="B33" s="178">
        <v>43895</v>
      </c>
      <c r="C33" s="178">
        <v>43910</v>
      </c>
      <c r="D33" s="178">
        <v>43926</v>
      </c>
      <c r="E33" s="178">
        <v>43931</v>
      </c>
      <c r="F33" s="178">
        <v>43939</v>
      </c>
      <c r="G33" s="178">
        <v>43961</v>
      </c>
      <c r="H33" s="178">
        <v>43973</v>
      </c>
      <c r="I33" s="178">
        <v>43989</v>
      </c>
      <c r="J33" s="178">
        <v>44008</v>
      </c>
      <c r="K33" s="178">
        <v>44050</v>
      </c>
      <c r="L33" s="178">
        <v>44079</v>
      </c>
      <c r="M33" s="178">
        <v>44135</v>
      </c>
      <c r="N33" s="178"/>
      <c r="O33" s="178"/>
      <c r="Q33" s="127" t="s">
        <v>185</v>
      </c>
      <c r="R33" s="16"/>
      <c r="S33" s="16"/>
      <c r="T33" s="16"/>
      <c r="U33" s="16"/>
      <c r="V33" s="16"/>
      <c r="W33" s="16"/>
      <c r="X33" s="16"/>
      <c r="Y33" s="171"/>
      <c r="Z33" s="16"/>
      <c r="AA33" s="16"/>
      <c r="AB33" s="16"/>
      <c r="AD33" s="16"/>
      <c r="AE33" s="16"/>
      <c r="AF33" s="16"/>
      <c r="AG33" s="16" t="s">
        <v>222</v>
      </c>
      <c r="AH33" s="16"/>
      <c r="AI33" s="16"/>
      <c r="AJ33" s="16"/>
      <c r="AK33" s="16"/>
      <c r="BA33" s="196"/>
      <c r="BB33" s="196"/>
      <c r="BC33" s="196"/>
      <c r="BD33" s="196"/>
      <c r="BE33" s="196"/>
      <c r="BO33" s="232" t="s">
        <v>174</v>
      </c>
    </row>
    <row r="34" spans="1:70" x14ac:dyDescent="0.25">
      <c r="A34" s="4" t="s">
        <v>11</v>
      </c>
      <c r="B34" s="278">
        <v>5</v>
      </c>
      <c r="C34" s="283">
        <v>4</v>
      </c>
      <c r="D34" s="278">
        <v>5</v>
      </c>
      <c r="E34" s="146">
        <v>8</v>
      </c>
      <c r="F34" s="78">
        <v>11</v>
      </c>
      <c r="G34" s="78">
        <v>12</v>
      </c>
      <c r="H34" s="203">
        <v>16</v>
      </c>
      <c r="I34" s="203">
        <v>19</v>
      </c>
      <c r="J34" s="203">
        <v>21</v>
      </c>
      <c r="K34" s="203">
        <v>29</v>
      </c>
      <c r="L34" s="203">
        <v>56</v>
      </c>
      <c r="M34" s="203">
        <v>330</v>
      </c>
      <c r="N34" s="203"/>
      <c r="O34" s="203"/>
      <c r="P34" s="285">
        <v>43895</v>
      </c>
      <c r="Q34" s="280">
        <f t="shared" ref="Q34:AG34" si="0">P34+HLOOKUP(P34+1, $B$33:$O$34,2,TRUE)</f>
        <v>43900</v>
      </c>
      <c r="R34" s="280">
        <f t="shared" si="0"/>
        <v>43905</v>
      </c>
      <c r="S34" s="284">
        <f t="shared" si="0"/>
        <v>43910</v>
      </c>
      <c r="T34" s="284">
        <f t="shared" si="0"/>
        <v>43914</v>
      </c>
      <c r="U34" s="284">
        <f t="shared" si="0"/>
        <v>43918</v>
      </c>
      <c r="V34" s="284">
        <f t="shared" si="0"/>
        <v>43922</v>
      </c>
      <c r="W34" s="280">
        <f t="shared" si="0"/>
        <v>43926</v>
      </c>
      <c r="X34" s="279">
        <f t="shared" si="0"/>
        <v>43931</v>
      </c>
      <c r="Y34" s="281">
        <f t="shared" si="0"/>
        <v>43939</v>
      </c>
      <c r="Z34" s="281">
        <f t="shared" si="0"/>
        <v>43950</v>
      </c>
      <c r="AA34" s="281">
        <f t="shared" si="0"/>
        <v>43961</v>
      </c>
      <c r="AB34" s="286">
        <f t="shared" si="0"/>
        <v>43973</v>
      </c>
      <c r="AC34" s="286">
        <f t="shared" si="0"/>
        <v>43989</v>
      </c>
      <c r="AD34" s="286">
        <f t="shared" si="0"/>
        <v>44008</v>
      </c>
      <c r="AE34" s="286">
        <f t="shared" si="0"/>
        <v>44029</v>
      </c>
      <c r="AF34" s="286">
        <f t="shared" si="0"/>
        <v>44050</v>
      </c>
      <c r="AG34" s="286">
        <f t="shared" si="0"/>
        <v>44079</v>
      </c>
      <c r="AH34" s="294">
        <f>$AG$34+(($AL$34-$AG$34)*0.17)</f>
        <v>44088.52</v>
      </c>
      <c r="AI34" s="294">
        <f>$AG$34+(($AL$34-$AG$34)*0.33)</f>
        <v>44097.48</v>
      </c>
      <c r="AJ34" s="294">
        <f>$AG$34+(($AL$34-$AG$34)*0.51)</f>
        <v>44107.56</v>
      </c>
      <c r="AK34" s="294">
        <f>$AG$34+(($AL$34-$AG$34)*0.72)</f>
        <v>44119.32</v>
      </c>
      <c r="AL34" s="286">
        <f>AG34+HLOOKUP(AG34+1, $B$33:$O$34,2,TRUE)</f>
        <v>44135</v>
      </c>
      <c r="AM34" s="293">
        <f>$AL$34+(($AQ$34-$AL$34)*0.22)</f>
        <v>44207.6</v>
      </c>
      <c r="AN34" s="292">
        <f>$AL$34+(($AQ$34-$AL$34)*0.4)</f>
        <v>44267</v>
      </c>
      <c r="AO34" s="291">
        <f>$AL$34+(($AQ$34-$AL$34)*0.6)</f>
        <v>44333</v>
      </c>
      <c r="AP34" s="291">
        <f>$AL$34+(($AQ$34-$AL$34)*0.8)</f>
        <v>44399</v>
      </c>
      <c r="AQ34" s="213">
        <f>AL34+HLOOKUP(AL34+1, $B$33:$O$34,2,TRUE)</f>
        <v>44465</v>
      </c>
      <c r="AR34" s="291">
        <f>$AQ$34+(($AV$34-$AQ$34)*0.2)</f>
        <v>44531</v>
      </c>
      <c r="AS34" s="291">
        <f>$AQ$34+(($AV$34-$AQ$34)*0.4)</f>
        <v>44597</v>
      </c>
      <c r="AT34" s="291">
        <f>$AQ$34+(($AV$34-$AQ$34)*0.6)</f>
        <v>44663</v>
      </c>
      <c r="AU34" s="291">
        <f>$AQ$34+(($AV$34-$AQ$34)*0.8)</f>
        <v>44729</v>
      </c>
      <c r="AV34" s="213">
        <f t="shared" ref="AV34" si="1">AQ34+HLOOKUP(AQ34+1, $B$33:$O$34,2,TRUE)</f>
        <v>44795</v>
      </c>
      <c r="AW34" s="291">
        <f>$AV$34+(($BA$34-$AV$34)*0.2)</f>
        <v>44861</v>
      </c>
      <c r="AX34" s="291">
        <f>$AV$34+(($BA$34-$AV$34)*0.4)</f>
        <v>44927</v>
      </c>
      <c r="AY34" s="291">
        <f>$AV$34+(($BA$34-$AV$34)*0.6)</f>
        <v>44993</v>
      </c>
      <c r="AZ34" s="291">
        <f>$AV$34+(($BA$34-$AV$34)*0.8)</f>
        <v>45059</v>
      </c>
      <c r="BA34" s="220">
        <f t="shared" ref="BA34" si="2">AV34+HLOOKUP(AV34+1, $B$33:$O$34,2,TRUE)</f>
        <v>45125</v>
      </c>
      <c r="BB34" s="291">
        <f>$BA$34+(($BF$34-$BA$34)*0.2)</f>
        <v>45191</v>
      </c>
      <c r="BC34" s="291">
        <f>$BA$34+(($BF$34-$BA$34)*0.4)</f>
        <v>45257</v>
      </c>
      <c r="BD34" s="291">
        <f>$BA$34+(($BF$34-$BA$34)*0.6)</f>
        <v>45323</v>
      </c>
      <c r="BE34" s="291">
        <f>$BA$34+(($BF$34-$BA$34)*0.8)</f>
        <v>45389</v>
      </c>
      <c r="BF34" s="213">
        <f>BA34+HLOOKUP(BA34+1, $B$33:$O$34,2,TRUE)</f>
        <v>45455</v>
      </c>
      <c r="BG34" s="291">
        <f>$BF$34+(($BK$34-$BF$34)*0.2)</f>
        <v>45521</v>
      </c>
      <c r="BH34" s="291">
        <f>$BF$34+(($BK$34-$BF$34)*0.4)</f>
        <v>45587</v>
      </c>
      <c r="BI34" s="291">
        <f>$BF$34+(($BK$34-$BF$34)*0.6)</f>
        <v>45653</v>
      </c>
      <c r="BJ34" s="291">
        <f>$BF$34+(($BK$34-$BF$34)*0.8)</f>
        <v>45719</v>
      </c>
      <c r="BK34" s="213">
        <f>BF34+HLOOKUP(BF34+1, $B$33:$O$34,2,TRUE)</f>
        <v>45785</v>
      </c>
      <c r="BL34" s="213">
        <f>BK34+HLOOKUP(BK34+1, $B$33:$O$34,2,TRUE)</f>
        <v>46115</v>
      </c>
      <c r="BM34" s="220">
        <f>BK34+HLOOKUP(BK34+1, $B$33:$O$34,2,TRUE)</f>
        <v>46115</v>
      </c>
      <c r="BN34" s="220">
        <f>BM34+HLOOKUP(BM34+1, $B$33:$O$34,2,TRUE)</f>
        <v>46445</v>
      </c>
      <c r="BO34" s="231">
        <f>BN34+(7*8)</f>
        <v>46501</v>
      </c>
      <c r="BP34" s="67"/>
      <c r="BQ34" s="67"/>
      <c r="BR34" s="66"/>
    </row>
    <row r="35" spans="1:70" x14ac:dyDescent="0.25">
      <c r="A35" s="41" t="s">
        <v>106</v>
      </c>
      <c r="B35" s="16"/>
      <c r="C35" s="16"/>
      <c r="D35" s="16"/>
      <c r="E35" s="16"/>
      <c r="F35" s="16"/>
      <c r="G35" s="16"/>
      <c r="H35" s="16"/>
      <c r="I35" s="16"/>
      <c r="J35" s="16"/>
      <c r="K35" s="16"/>
      <c r="L35" s="16"/>
      <c r="M35" s="16"/>
      <c r="N35" s="16"/>
      <c r="O35" s="16"/>
      <c r="P35" s="212">
        <v>31.25</v>
      </c>
      <c r="Q35" s="206">
        <f>P35*2</f>
        <v>62.5</v>
      </c>
      <c r="R35" s="206">
        <f t="shared" ref="R35:AF35" si="3">Q35*2</f>
        <v>125</v>
      </c>
      <c r="S35" s="206">
        <f t="shared" si="3"/>
        <v>250</v>
      </c>
      <c r="T35" s="206">
        <f t="shared" si="3"/>
        <v>500</v>
      </c>
      <c r="U35" s="206">
        <f t="shared" si="3"/>
        <v>1000</v>
      </c>
      <c r="V35" s="206">
        <f t="shared" si="3"/>
        <v>2000</v>
      </c>
      <c r="W35" s="206">
        <f t="shared" si="3"/>
        <v>4000</v>
      </c>
      <c r="X35" s="206">
        <f t="shared" si="3"/>
        <v>8000</v>
      </c>
      <c r="Y35" s="206">
        <f>X35*2</f>
        <v>16000</v>
      </c>
      <c r="Z35" s="206">
        <f>Y35*2</f>
        <v>32000</v>
      </c>
      <c r="AA35" s="206">
        <f>Z35*2</f>
        <v>64000</v>
      </c>
      <c r="AB35" s="206">
        <f>AA35*2</f>
        <v>128000</v>
      </c>
      <c r="AC35" s="206">
        <f t="shared" si="3"/>
        <v>256000</v>
      </c>
      <c r="AD35" s="206">
        <f t="shared" si="3"/>
        <v>512000</v>
      </c>
      <c r="AE35" s="206">
        <f t="shared" si="3"/>
        <v>1024000</v>
      </c>
      <c r="AF35" s="206">
        <f t="shared" si="3"/>
        <v>2048000</v>
      </c>
      <c r="AG35" s="206">
        <f>AF35*2</f>
        <v>4096000</v>
      </c>
      <c r="AH35" s="206">
        <f>$AG$35+(($AL$35-$AG$35)*0.2)</f>
        <v>4915200</v>
      </c>
      <c r="AI35" s="206">
        <f>$AG$35+(($AL$35-$AG$35)*0.4)</f>
        <v>5734400</v>
      </c>
      <c r="AJ35" s="206">
        <f>$AG$35+(($AL$35-$AG$35)*0.6)</f>
        <v>6553600</v>
      </c>
      <c r="AK35" s="206">
        <f>$AG$35+(($AL$35-$AG$35)*0.8)</f>
        <v>7372800</v>
      </c>
      <c r="AL35" s="206">
        <f>AG35*2</f>
        <v>8192000</v>
      </c>
      <c r="AM35" s="206">
        <f>$AL$35+(($AQ$35-$AL$35)*0.2)</f>
        <v>9830400</v>
      </c>
      <c r="AN35" s="206">
        <f>$AL$35+(($AQ$35-$AL$35)*0.4)</f>
        <v>11468800</v>
      </c>
      <c r="AO35" s="206">
        <f>$AL$35+(($AQ$35-$AL$35)*0.6)</f>
        <v>13107200</v>
      </c>
      <c r="AP35" s="206">
        <f>$AL$35+(($AQ$35-$AL$35)*0.8)</f>
        <v>14745600</v>
      </c>
      <c r="AQ35" s="206">
        <f>AL35*2</f>
        <v>16384000</v>
      </c>
      <c r="AR35" s="206">
        <f>$AQ$35+(($AV$35-$AQ$35)*0.2)</f>
        <v>19660800</v>
      </c>
      <c r="AS35" s="206">
        <f>$AQ$35+(($AV$35-$AQ$35)*0.4)</f>
        <v>22937600</v>
      </c>
      <c r="AT35" s="206">
        <f>$AQ$35+(($AV$35-$AQ$35)*0.6)</f>
        <v>26214400</v>
      </c>
      <c r="AU35" s="206">
        <f>$AQ$35+(($AV$35-$AQ$35)*0.8)</f>
        <v>29491200</v>
      </c>
      <c r="AV35" s="206">
        <f>AQ35*2</f>
        <v>32768000</v>
      </c>
      <c r="AW35" s="206">
        <f>$AV$35+(($BA$35-$AV$35)*0.2)</f>
        <v>39321600</v>
      </c>
      <c r="AX35" s="206">
        <f>$AV$35+(($BA$35-$AV$35)*0.4)</f>
        <v>45875200</v>
      </c>
      <c r="AY35" s="206">
        <f>$AV$35+(($BA$35-$AV$35)*0.6)</f>
        <v>52428800</v>
      </c>
      <c r="AZ35" s="206">
        <f>$AV$35+(($BA$35-$AV$35)*0.8)</f>
        <v>58982400</v>
      </c>
      <c r="BA35" s="206">
        <f>AV35*2</f>
        <v>65536000</v>
      </c>
      <c r="BB35" s="206">
        <f>$BA$35+(($BF$35-$BA$35)*0.2)</f>
        <v>78643200</v>
      </c>
      <c r="BC35" s="206">
        <f>$BA$35+(($BF$35-$BA$35)*0.4)</f>
        <v>91750400</v>
      </c>
      <c r="BD35" s="206">
        <f>$BA$35+(($BF$35-$BA$35)*0.6)</f>
        <v>104857600</v>
      </c>
      <c r="BE35" s="206">
        <f>$BA$35+(($BF$35-$BA$35)*0.8)</f>
        <v>117964800</v>
      </c>
      <c r="BF35" s="206">
        <f>BA35*2</f>
        <v>131072000</v>
      </c>
      <c r="BG35" s="206">
        <f>$BF$35+(($BK$35-$BF$35)*0.2)</f>
        <v>157286400</v>
      </c>
      <c r="BH35" s="206">
        <f>$BF$35+(($BK$35-$BF$35)*0.4)</f>
        <v>183500800</v>
      </c>
      <c r="BI35" s="206">
        <f>$BF$35+(($BK$35-$BF$35)*0.6)</f>
        <v>209715200</v>
      </c>
      <c r="BJ35" s="206">
        <f>$BF$35+(($BK$35-$BF$35)*0.8)</f>
        <v>235929600</v>
      </c>
      <c r="BK35" s="206">
        <f>BF35*2</f>
        <v>262144000</v>
      </c>
      <c r="BL35" s="221">
        <f t="shared" ref="BL35" si="4">BK35*2</f>
        <v>524288000</v>
      </c>
      <c r="BM35" s="193">
        <f>BL35*2</f>
        <v>1048576000</v>
      </c>
      <c r="BN35" s="185">
        <f>B21</f>
        <v>1392156000</v>
      </c>
      <c r="BO35" s="225">
        <f>B21*BO36</f>
        <v>83529360</v>
      </c>
      <c r="BP35" s="45"/>
      <c r="BQ35" s="45"/>
      <c r="BR35" s="66"/>
    </row>
    <row r="36" spans="1:70" x14ac:dyDescent="0.25">
      <c r="A36" s="41" t="s">
        <v>107</v>
      </c>
      <c r="B36" s="16"/>
      <c r="C36" s="16"/>
      <c r="D36" s="16"/>
      <c r="E36" s="16"/>
      <c r="F36" s="16"/>
      <c r="G36" s="16"/>
      <c r="H36" s="16"/>
      <c r="I36" s="16"/>
      <c r="J36" s="16"/>
      <c r="K36" s="16"/>
      <c r="L36" s="16"/>
      <c r="M36" s="16"/>
      <c r="N36" s="16"/>
      <c r="O36" s="16"/>
      <c r="P36" s="201">
        <f t="shared" ref="P36:AF36" si="5">P35/$B$21</f>
        <v>2.2447197009530542E-8</v>
      </c>
      <c r="Q36" s="202">
        <f t="shared" si="5"/>
        <v>4.4894394019061085E-8</v>
      </c>
      <c r="R36" s="202">
        <f t="shared" si="5"/>
        <v>8.978878803812217E-8</v>
      </c>
      <c r="S36" s="182">
        <f t="shared" si="5"/>
        <v>1.7957757607624434E-7</v>
      </c>
      <c r="T36" s="182">
        <f t="shared" si="5"/>
        <v>3.5915515215248868E-7</v>
      </c>
      <c r="U36" s="182">
        <f t="shared" si="5"/>
        <v>7.1831030430497736E-7</v>
      </c>
      <c r="V36" s="182">
        <f t="shared" si="5"/>
        <v>1.4366206086099547E-6</v>
      </c>
      <c r="W36" s="65">
        <f t="shared" si="5"/>
        <v>2.8732412172199094E-6</v>
      </c>
      <c r="X36" s="65">
        <f t="shared" si="5"/>
        <v>5.7464824344398189E-6</v>
      </c>
      <c r="Y36" s="65">
        <f>Y35/$B$21</f>
        <v>1.1492964868879638E-5</v>
      </c>
      <c r="Z36" s="65">
        <f>Z35/$B$21</f>
        <v>2.2985929737759275E-5</v>
      </c>
      <c r="AA36" s="36">
        <f>AA35/$B$21</f>
        <v>4.5971859475518551E-5</v>
      </c>
      <c r="AB36" s="14">
        <f>AB35/$B$21</f>
        <v>9.1943718951037102E-5</v>
      </c>
      <c r="AC36" s="14">
        <f t="shared" si="5"/>
        <v>1.838874379020742E-4</v>
      </c>
      <c r="AD36" s="14">
        <f t="shared" si="5"/>
        <v>3.6777487580414841E-4</v>
      </c>
      <c r="AE36" s="14">
        <f t="shared" si="5"/>
        <v>7.3554975160829681E-4</v>
      </c>
      <c r="AF36" s="14">
        <f t="shared" si="5"/>
        <v>1.4710995032165936E-3</v>
      </c>
      <c r="AG36" s="15">
        <f>AG35/$B$21</f>
        <v>2.9421990064331873E-3</v>
      </c>
      <c r="AH36" s="15">
        <f t="shared" ref="AH36:AK36" si="6">AH35/$B$21</f>
        <v>3.5306388077198246E-3</v>
      </c>
      <c r="AI36" s="15">
        <f t="shared" si="6"/>
        <v>4.1190786090064616E-3</v>
      </c>
      <c r="AJ36" s="15">
        <f t="shared" si="6"/>
        <v>4.7075184102930989E-3</v>
      </c>
      <c r="AK36" s="15">
        <f t="shared" si="6"/>
        <v>5.2959582115797372E-3</v>
      </c>
      <c r="AL36" s="15">
        <f>AL35/$B$21</f>
        <v>5.8843980128663745E-3</v>
      </c>
      <c r="AM36" s="15">
        <f t="shared" ref="AM36:AP36" si="7">AM35/$B$21</f>
        <v>7.0612776154396492E-3</v>
      </c>
      <c r="AN36" s="15">
        <f t="shared" si="7"/>
        <v>8.2381572180129231E-3</v>
      </c>
      <c r="AO36" s="15">
        <f t="shared" si="7"/>
        <v>9.4150368205861978E-3</v>
      </c>
      <c r="AP36" s="15">
        <f t="shared" si="7"/>
        <v>1.0591916423159474E-2</v>
      </c>
      <c r="AQ36" s="15">
        <f>AQ35/$B$21</f>
        <v>1.1768796025732749E-2</v>
      </c>
      <c r="AR36" s="15">
        <f t="shared" ref="AR36:AU36" si="8">AR35/$B$21</f>
        <v>1.4122555230879298E-2</v>
      </c>
      <c r="AS36" s="15">
        <f t="shared" si="8"/>
        <v>1.6476314436025846E-2</v>
      </c>
      <c r="AT36" s="15">
        <f t="shared" si="8"/>
        <v>1.8830073641172396E-2</v>
      </c>
      <c r="AU36" s="15">
        <f t="shared" si="8"/>
        <v>2.1183832846318949E-2</v>
      </c>
      <c r="AV36" s="15">
        <f t="shared" ref="AV36:BM36" si="9">AV35/$B$21</f>
        <v>2.3537592051465498E-2</v>
      </c>
      <c r="AW36" s="15">
        <f t="shared" ref="AW36:AZ36" si="10">AW35/$B$21</f>
        <v>2.8245110461758597E-2</v>
      </c>
      <c r="AX36" s="15">
        <f t="shared" si="10"/>
        <v>3.2952628872051692E-2</v>
      </c>
      <c r="AY36" s="15">
        <f t="shared" si="10"/>
        <v>3.7660147282344791E-2</v>
      </c>
      <c r="AZ36" s="15">
        <f t="shared" si="10"/>
        <v>4.2367665692637897E-2</v>
      </c>
      <c r="BA36" s="15">
        <f t="shared" si="9"/>
        <v>4.7075184102930996E-2</v>
      </c>
      <c r="BB36" s="15">
        <f t="shared" ref="BB36:BE36" si="11">BB35/$B$21</f>
        <v>5.6490220923517194E-2</v>
      </c>
      <c r="BC36" s="15">
        <f t="shared" si="11"/>
        <v>6.5905257744103385E-2</v>
      </c>
      <c r="BD36" s="15">
        <f t="shared" si="11"/>
        <v>7.5320294564689583E-2</v>
      </c>
      <c r="BE36" s="15">
        <f t="shared" si="11"/>
        <v>8.4735331385275794E-2</v>
      </c>
      <c r="BF36" s="15">
        <f t="shared" si="9"/>
        <v>9.4150368205861992E-2</v>
      </c>
      <c r="BG36" s="15">
        <f t="shared" ref="BG36:BJ36" si="12">BG35/$B$21</f>
        <v>0.11298044184703439</v>
      </c>
      <c r="BH36" s="15">
        <f t="shared" si="12"/>
        <v>0.13181051548820677</v>
      </c>
      <c r="BI36" s="15">
        <f t="shared" si="12"/>
        <v>0.15064058912937917</v>
      </c>
      <c r="BJ36" s="15">
        <f t="shared" si="12"/>
        <v>0.16947066277055159</v>
      </c>
      <c r="BK36" s="15">
        <f t="shared" si="9"/>
        <v>0.18830073641172398</v>
      </c>
      <c r="BL36" s="222">
        <f t="shared" ref="BL36" si="13">BL35/$B$21</f>
        <v>0.37660147282344797</v>
      </c>
      <c r="BM36" s="167">
        <f t="shared" si="9"/>
        <v>0.75320294564689594</v>
      </c>
      <c r="BN36" s="166">
        <f>BN35/$B$21</f>
        <v>1</v>
      </c>
      <c r="BO36" s="226">
        <f>B24</f>
        <v>0.06</v>
      </c>
      <c r="BP36" s="25"/>
      <c r="BQ36" s="25"/>
      <c r="BR36" s="66"/>
    </row>
    <row r="37" spans="1:70" x14ac:dyDescent="0.25">
      <c r="A37" s="41" t="s">
        <v>156</v>
      </c>
      <c r="B37" s="16"/>
      <c r="C37" s="16"/>
      <c r="D37" s="16"/>
      <c r="E37" s="16"/>
      <c r="F37" s="16"/>
      <c r="G37" s="16"/>
      <c r="H37" s="16"/>
      <c r="I37" s="16"/>
      <c r="J37" s="16"/>
      <c r="K37" s="16"/>
      <c r="L37" s="16"/>
      <c r="M37" s="16"/>
      <c r="N37" s="16"/>
      <c r="O37" s="16"/>
      <c r="P37" s="265">
        <f t="shared" ref="P37:Y37" si="14">MAX(P35-(P43-P44)-(P45-P46)-(P47-P48),0)</f>
        <v>25.016129564011877</v>
      </c>
      <c r="Q37" s="266">
        <f t="shared" si="14"/>
        <v>52.366135481904664</v>
      </c>
      <c r="R37" s="266">
        <f t="shared" si="14"/>
        <v>108.52625208919129</v>
      </c>
      <c r="S37" s="266">
        <f t="shared" si="14"/>
        <v>222.10422027875339</v>
      </c>
      <c r="T37" s="266">
        <f>MAX(T35-(T43-T44)-(T45-T46)-(T47-T48),0)</f>
        <v>447.6875</v>
      </c>
      <c r="U37" s="266">
        <f t="shared" si="14"/>
        <v>906.49780135330877</v>
      </c>
      <c r="V37" s="266">
        <f t="shared" si="14"/>
        <v>1856.4333005675624</v>
      </c>
      <c r="W37" s="266">
        <f t="shared" si="14"/>
        <v>3721.4155453634608</v>
      </c>
      <c r="X37" s="266">
        <f t="shared" si="14"/>
        <v>7285.310658734079</v>
      </c>
      <c r="Y37" s="266">
        <f t="shared" si="14"/>
        <v>13140.837714510171</v>
      </c>
      <c r="Z37" s="266">
        <f>MAX(Z35-(Z43-Z44)-(Z45-Z46)-(Z47-Z48),0)</f>
        <v>17289.745825150563</v>
      </c>
      <c r="AA37" s="266">
        <f t="shared" ref="AA37:BN37" si="15">MAX(AA35-(AA43-AA44)-(AA45-AA46)-(AA47-AA48),0)</f>
        <v>17728.062747146152</v>
      </c>
      <c r="AB37" s="266">
        <f t="shared" si="15"/>
        <v>33701.052805851825</v>
      </c>
      <c r="AC37" s="266">
        <f t="shared" si="15"/>
        <v>110068.63957119231</v>
      </c>
      <c r="AD37" s="266">
        <f t="shared" si="15"/>
        <v>120994.05261343048</v>
      </c>
      <c r="AE37" s="266">
        <f t="shared" si="15"/>
        <v>108415.34332832028</v>
      </c>
      <c r="AF37" s="266">
        <f t="shared" si="15"/>
        <v>364465.46162770619</v>
      </c>
      <c r="AG37" s="266">
        <f t="shared" si="15"/>
        <v>175265.48761279442</v>
      </c>
      <c r="AH37" s="266">
        <f t="shared" ref="AH37:AK37" si="16">MAX(AH35-(AH43-AH44)-(AH45-AH46)-(AH47-AH48),0)</f>
        <v>0</v>
      </c>
      <c r="AI37" s="266">
        <f t="shared" si="16"/>
        <v>371355.00016805215</v>
      </c>
      <c r="AJ37" s="266">
        <f t="shared" si="16"/>
        <v>0</v>
      </c>
      <c r="AK37" s="266">
        <f t="shared" si="16"/>
        <v>0</v>
      </c>
      <c r="AL37" s="266">
        <f t="shared" si="15"/>
        <v>186702.74898420466</v>
      </c>
      <c r="AM37" s="266">
        <f t="shared" ref="AM37:AP37" si="17">MAX(AM35-(AM43-AM44)-(AM45-AM46)-(AM47-AM48),0)</f>
        <v>0</v>
      </c>
      <c r="AN37" s="266">
        <f t="shared" si="17"/>
        <v>0</v>
      </c>
      <c r="AO37" s="266">
        <f t="shared" si="17"/>
        <v>0</v>
      </c>
      <c r="AP37" s="266">
        <f t="shared" si="17"/>
        <v>0</v>
      </c>
      <c r="AQ37" s="266">
        <f t="shared" si="15"/>
        <v>0</v>
      </c>
      <c r="AR37" s="266">
        <f t="shared" ref="AR37:AU37" si="18">MAX(AR35-(AR43-AR44)-(AR45-AR46)-(AR47-AR48),0)</f>
        <v>0</v>
      </c>
      <c r="AS37" s="266">
        <f t="shared" si="18"/>
        <v>0</v>
      </c>
      <c r="AT37" s="266">
        <f t="shared" si="18"/>
        <v>0</v>
      </c>
      <c r="AU37" s="266">
        <f t="shared" si="18"/>
        <v>0</v>
      </c>
      <c r="AV37" s="266">
        <f t="shared" ref="AV37:BM37" si="19">MAX(AV35-(AV43-AV44)-(AV45-AV46)-(AV47-AV48),0)</f>
        <v>0</v>
      </c>
      <c r="AW37" s="266">
        <f t="shared" ref="AW37:AZ37" si="20">MAX(AW35-(AW43-AW44)-(AW45-AW46)-(AW47-AW48),0)</f>
        <v>0</v>
      </c>
      <c r="AX37" s="266">
        <f t="shared" si="20"/>
        <v>0</v>
      </c>
      <c r="AY37" s="266">
        <f t="shared" si="20"/>
        <v>0</v>
      </c>
      <c r="AZ37" s="266">
        <f t="shared" si="20"/>
        <v>0</v>
      </c>
      <c r="BA37" s="266">
        <f t="shared" si="19"/>
        <v>0</v>
      </c>
      <c r="BB37" s="266">
        <f t="shared" ref="BB37:BE37" si="21">MAX(BB35-(BB43-BB44)-(BB45-BB46)-(BB47-BB48),0)</f>
        <v>0</v>
      </c>
      <c r="BC37" s="266">
        <f t="shared" si="21"/>
        <v>0</v>
      </c>
      <c r="BD37" s="266">
        <f t="shared" si="21"/>
        <v>0</v>
      </c>
      <c r="BE37" s="266">
        <f t="shared" si="21"/>
        <v>0</v>
      </c>
      <c r="BF37" s="266">
        <f t="shared" si="19"/>
        <v>0</v>
      </c>
      <c r="BG37" s="266">
        <f t="shared" ref="BG37:BJ37" si="22">MAX(BG35-(BG43-BG44)-(BG45-BG46)-(BG47-BG48),0)</f>
        <v>0</v>
      </c>
      <c r="BH37" s="266">
        <f t="shared" si="22"/>
        <v>0</v>
      </c>
      <c r="BI37" s="266">
        <f t="shared" si="22"/>
        <v>0</v>
      </c>
      <c r="BJ37" s="266">
        <f t="shared" si="22"/>
        <v>0</v>
      </c>
      <c r="BK37" s="266">
        <f t="shared" si="19"/>
        <v>0</v>
      </c>
      <c r="BL37" s="223">
        <f t="shared" ref="BL37" si="23">MAX(BL35-(BL43-BL44)-(BL45-BL46)-(BL47-BL48),0)</f>
        <v>0</v>
      </c>
      <c r="BM37" s="186">
        <f t="shared" si="19"/>
        <v>0</v>
      </c>
      <c r="BN37" s="185">
        <f t="shared" si="15"/>
        <v>0</v>
      </c>
      <c r="BO37" s="227"/>
      <c r="BP37" s="45"/>
      <c r="BQ37" s="45"/>
      <c r="BR37" s="66"/>
    </row>
    <row r="38" spans="1:70" x14ac:dyDescent="0.25">
      <c r="A38" s="41" t="s">
        <v>170</v>
      </c>
      <c r="B38" s="16"/>
      <c r="C38" s="16"/>
      <c r="D38" s="16"/>
      <c r="E38" s="16"/>
      <c r="F38" s="16"/>
      <c r="G38" s="16"/>
      <c r="H38" s="16"/>
      <c r="I38" s="16"/>
      <c r="J38" s="16"/>
      <c r="K38" s="16"/>
      <c r="L38" s="16"/>
      <c r="M38" s="16"/>
      <c r="N38" s="16"/>
      <c r="O38" s="16"/>
      <c r="P38" s="74">
        <f>MAX(P35-P37,0)</f>
        <v>6.2338704359881234</v>
      </c>
      <c r="Q38" s="74">
        <f t="shared" ref="Q38:R38" si="24">MAX(Q35-Q37,0)</f>
        <v>10.133864518095336</v>
      </c>
      <c r="R38" s="74">
        <f t="shared" si="24"/>
        <v>16.473747910808711</v>
      </c>
      <c r="S38" s="207">
        <f>MAX(S35-S37,0)</f>
        <v>27.895779721246612</v>
      </c>
      <c r="T38" s="207">
        <f t="shared" ref="T38:BK38" si="25">MAX(T35-T37,0)</f>
        <v>52.3125</v>
      </c>
      <c r="U38" s="207">
        <f t="shared" si="25"/>
        <v>93.502198646691227</v>
      </c>
      <c r="V38" s="207">
        <f t="shared" si="25"/>
        <v>143.56669943243764</v>
      </c>
      <c r="W38" s="207">
        <f t="shared" si="25"/>
        <v>278.58445463653925</v>
      </c>
      <c r="X38" s="207">
        <f t="shared" si="25"/>
        <v>714.68934126592103</v>
      </c>
      <c r="Y38" s="207">
        <f t="shared" si="25"/>
        <v>2859.1622854898287</v>
      </c>
      <c r="Z38" s="207">
        <f t="shared" si="25"/>
        <v>14710.254174849437</v>
      </c>
      <c r="AA38" s="207">
        <f t="shared" si="25"/>
        <v>46271.937252853852</v>
      </c>
      <c r="AB38" s="207">
        <f t="shared" si="25"/>
        <v>94298.947194148175</v>
      </c>
      <c r="AC38" s="207">
        <f t="shared" si="25"/>
        <v>145931.36042880767</v>
      </c>
      <c r="AD38" s="207">
        <f t="shared" si="25"/>
        <v>391005.94738656952</v>
      </c>
      <c r="AE38" s="207">
        <f t="shared" si="25"/>
        <v>915584.6566716797</v>
      </c>
      <c r="AF38" s="207">
        <f t="shared" si="25"/>
        <v>1683534.5383722938</v>
      </c>
      <c r="AG38" s="207">
        <f t="shared" si="25"/>
        <v>3920734.5123872054</v>
      </c>
      <c r="AH38" s="207">
        <f t="shared" ref="AH38" si="26">MAX(AH35-AH37,0)</f>
        <v>4915200</v>
      </c>
      <c r="AI38" s="207">
        <f t="shared" ref="AI38" si="27">MAX(AI35-AI37,0)</f>
        <v>5363044.9998319475</v>
      </c>
      <c r="AJ38" s="207">
        <f t="shared" ref="AJ38" si="28">MAX(AJ35-AJ37,0)</f>
        <v>6553600</v>
      </c>
      <c r="AK38" s="207">
        <f t="shared" ref="AK38" si="29">MAX(AK35-AK37,0)</f>
        <v>7372800</v>
      </c>
      <c r="AL38" s="207">
        <f t="shared" si="25"/>
        <v>8005297.2510157954</v>
      </c>
      <c r="AM38" s="207">
        <f t="shared" ref="AM38" si="30">MAX(AM35-AM37,0)</f>
        <v>9830400</v>
      </c>
      <c r="AN38" s="207">
        <f t="shared" ref="AN38" si="31">MAX(AN35-AN37,0)</f>
        <v>11468800</v>
      </c>
      <c r="AO38" s="207">
        <f t="shared" ref="AO38" si="32">MAX(AO35-AO37,0)</f>
        <v>13107200</v>
      </c>
      <c r="AP38" s="207">
        <f t="shared" ref="AP38" si="33">MAX(AP35-AP37,0)</f>
        <v>14745600</v>
      </c>
      <c r="AQ38" s="207">
        <f t="shared" si="25"/>
        <v>16384000</v>
      </c>
      <c r="AR38" s="207">
        <f t="shared" ref="AR38" si="34">MAX(AR35-AR37,0)</f>
        <v>19660800</v>
      </c>
      <c r="AS38" s="207">
        <f t="shared" ref="AS38" si="35">MAX(AS35-AS37,0)</f>
        <v>22937600</v>
      </c>
      <c r="AT38" s="207">
        <f t="shared" ref="AT38" si="36">MAX(AT35-AT37,0)</f>
        <v>26214400</v>
      </c>
      <c r="AU38" s="207">
        <f t="shared" ref="AU38" si="37">MAX(AU35-AU37,0)</f>
        <v>29491200</v>
      </c>
      <c r="AV38" s="207">
        <f t="shared" si="25"/>
        <v>32768000</v>
      </c>
      <c r="AW38" s="207">
        <f t="shared" ref="AW38" si="38">MAX(AW35-AW37,0)</f>
        <v>39321600</v>
      </c>
      <c r="AX38" s="207">
        <f t="shared" ref="AX38" si="39">MAX(AX35-AX37,0)</f>
        <v>45875200</v>
      </c>
      <c r="AY38" s="207">
        <f t="shared" ref="AY38" si="40">MAX(AY35-AY37,0)</f>
        <v>52428800</v>
      </c>
      <c r="AZ38" s="207">
        <f t="shared" ref="AZ38" si="41">MAX(AZ35-AZ37,0)</f>
        <v>58982400</v>
      </c>
      <c r="BA38" s="207">
        <f t="shared" si="25"/>
        <v>65536000</v>
      </c>
      <c r="BB38" s="207">
        <f t="shared" ref="BB38" si="42">MAX(BB35-BB37,0)</f>
        <v>78643200</v>
      </c>
      <c r="BC38" s="207">
        <f t="shared" ref="BC38" si="43">MAX(BC35-BC37,0)</f>
        <v>91750400</v>
      </c>
      <c r="BD38" s="207">
        <f t="shared" ref="BD38" si="44">MAX(BD35-BD37,0)</f>
        <v>104857600</v>
      </c>
      <c r="BE38" s="207">
        <f t="shared" ref="BE38" si="45">MAX(BE35-BE37,0)</f>
        <v>117964800</v>
      </c>
      <c r="BF38" s="207">
        <f t="shared" si="25"/>
        <v>131072000</v>
      </c>
      <c r="BG38" s="207">
        <f t="shared" ref="BG38" si="46">MAX(BG35-BG37,0)</f>
        <v>157286400</v>
      </c>
      <c r="BH38" s="207">
        <f t="shared" ref="BH38" si="47">MAX(BH35-BH37,0)</f>
        <v>183500800</v>
      </c>
      <c r="BI38" s="207">
        <f t="shared" ref="BI38" si="48">MAX(BI35-BI37,0)</f>
        <v>209715200</v>
      </c>
      <c r="BJ38" s="207">
        <f t="shared" ref="BJ38" si="49">MAX(BJ35-BJ37,0)</f>
        <v>235929600</v>
      </c>
      <c r="BK38" s="207">
        <f t="shared" si="25"/>
        <v>262144000</v>
      </c>
      <c r="BL38" s="287">
        <f>MAX(BL35-BL37,0)</f>
        <v>524288000</v>
      </c>
      <c r="BM38" s="288">
        <f>MAX(BM35-BM37,0)</f>
        <v>1048576000</v>
      </c>
      <c r="BN38" s="197">
        <f>MAX(BN35-BN37,0)</f>
        <v>1392156000</v>
      </c>
      <c r="BO38" s="228"/>
      <c r="BP38" s="25"/>
      <c r="BQ38" s="25"/>
      <c r="BR38" s="66"/>
    </row>
    <row r="39" spans="1:70" x14ac:dyDescent="0.25">
      <c r="A39" s="4" t="s">
        <v>163</v>
      </c>
      <c r="B39" s="9"/>
      <c r="C39" s="9"/>
      <c r="D39" s="9"/>
      <c r="E39" s="9"/>
      <c r="F39" s="9"/>
      <c r="G39" s="9"/>
      <c r="H39" s="9"/>
      <c r="I39" s="9"/>
      <c r="J39" s="9"/>
      <c r="K39" s="9"/>
      <c r="L39" s="9"/>
      <c r="M39" s="9"/>
      <c r="N39" s="9"/>
      <c r="O39" s="5"/>
      <c r="P39" s="194">
        <f t="shared" ref="P39:BA39" si="50">P35/$B$23</f>
        <v>46.874999999999993</v>
      </c>
      <c r="Q39" s="195">
        <f t="shared" si="50"/>
        <v>93.749999999999986</v>
      </c>
      <c r="R39" s="195">
        <f t="shared" si="50"/>
        <v>187.49999999999997</v>
      </c>
      <c r="S39" s="195">
        <f t="shared" si="50"/>
        <v>374.99999999999994</v>
      </c>
      <c r="T39" s="195">
        <f t="shared" si="50"/>
        <v>749.99999999999989</v>
      </c>
      <c r="U39" s="195">
        <f t="shared" si="50"/>
        <v>1499.9999999999998</v>
      </c>
      <c r="V39" s="195">
        <f t="shared" si="50"/>
        <v>2999.9999999999995</v>
      </c>
      <c r="W39" s="195">
        <f t="shared" si="50"/>
        <v>5999.9999999999991</v>
      </c>
      <c r="X39" s="195">
        <f t="shared" si="50"/>
        <v>11999.999999999998</v>
      </c>
      <c r="Y39" s="195">
        <f t="shared" si="50"/>
        <v>23999.999999999996</v>
      </c>
      <c r="Z39" s="195">
        <f t="shared" si="50"/>
        <v>47999.999999999993</v>
      </c>
      <c r="AA39" s="195">
        <f t="shared" si="50"/>
        <v>95999.999999999985</v>
      </c>
      <c r="AB39" s="195">
        <f t="shared" si="50"/>
        <v>191999.99999999997</v>
      </c>
      <c r="AC39" s="195">
        <f t="shared" si="50"/>
        <v>383999.99999999994</v>
      </c>
      <c r="AD39" s="195">
        <f t="shared" si="50"/>
        <v>767999.99999999988</v>
      </c>
      <c r="AE39" s="195">
        <f t="shared" si="50"/>
        <v>1535999.9999999998</v>
      </c>
      <c r="AF39" s="195">
        <f t="shared" si="50"/>
        <v>3071999.9999999995</v>
      </c>
      <c r="AG39" s="195">
        <f t="shared" si="50"/>
        <v>6143999.9999999991</v>
      </c>
      <c r="AH39" s="195">
        <f t="shared" ref="AH39:AK39" si="51">AH35/$B$23</f>
        <v>7372799.9999999991</v>
      </c>
      <c r="AI39" s="195">
        <f t="shared" si="51"/>
        <v>8601599.9999999981</v>
      </c>
      <c r="AJ39" s="195">
        <f t="shared" si="51"/>
        <v>9830399.9999999981</v>
      </c>
      <c r="AK39" s="195">
        <f t="shared" si="51"/>
        <v>11059199.999999998</v>
      </c>
      <c r="AL39" s="195">
        <f t="shared" si="50"/>
        <v>12287999.999999998</v>
      </c>
      <c r="AM39" s="195">
        <f t="shared" ref="AM39:AP39" si="52">AM35/$B$23</f>
        <v>14745599.999999998</v>
      </c>
      <c r="AN39" s="195">
        <f t="shared" si="52"/>
        <v>17203199.999999996</v>
      </c>
      <c r="AO39" s="195">
        <f t="shared" si="52"/>
        <v>19660799.999999996</v>
      </c>
      <c r="AP39" s="195">
        <f t="shared" si="52"/>
        <v>22118399.999999996</v>
      </c>
      <c r="AQ39" s="195">
        <f t="shared" si="50"/>
        <v>24575999.999999996</v>
      </c>
      <c r="AR39" s="195">
        <f t="shared" ref="AR39:AU39" si="53">AR35/$B$23</f>
        <v>29491199.999999996</v>
      </c>
      <c r="AS39" s="195">
        <f t="shared" si="53"/>
        <v>34406399.999999993</v>
      </c>
      <c r="AT39" s="195">
        <f t="shared" si="53"/>
        <v>39321599.999999993</v>
      </c>
      <c r="AU39" s="195">
        <f t="shared" si="53"/>
        <v>44236799.999999993</v>
      </c>
      <c r="AV39" s="195">
        <f t="shared" si="50"/>
        <v>49151999.999999993</v>
      </c>
      <c r="AW39" s="195">
        <f t="shared" ref="AW39:AZ39" si="54">AW35/$B$23</f>
        <v>58982399.999999993</v>
      </c>
      <c r="AX39" s="195">
        <f t="shared" si="54"/>
        <v>68812799.999999985</v>
      </c>
      <c r="AY39" s="195">
        <f t="shared" si="54"/>
        <v>78643199.999999985</v>
      </c>
      <c r="AZ39" s="195">
        <f t="shared" si="54"/>
        <v>88473599.999999985</v>
      </c>
      <c r="BA39" s="195">
        <f t="shared" si="50"/>
        <v>98303999.999999985</v>
      </c>
      <c r="BB39" s="195">
        <f t="shared" ref="BB39:BE39" si="55">BB35/$B$23</f>
        <v>117964799.99999999</v>
      </c>
      <c r="BC39" s="195">
        <f t="shared" si="55"/>
        <v>137625599.99999997</v>
      </c>
      <c r="BD39" s="195">
        <f t="shared" si="55"/>
        <v>157286399.99999997</v>
      </c>
      <c r="BE39" s="195">
        <f t="shared" si="55"/>
        <v>176947199.99999997</v>
      </c>
      <c r="BF39" s="195">
        <f>BF35/$B$23</f>
        <v>196607999.99999997</v>
      </c>
      <c r="BG39" s="195">
        <f t="shared" ref="BG39:BJ39" si="56">BG35/$B$23</f>
        <v>235929599.99999997</v>
      </c>
      <c r="BH39" s="195">
        <f t="shared" si="56"/>
        <v>275251199.99999994</v>
      </c>
      <c r="BI39" s="195">
        <f t="shared" si="56"/>
        <v>314572799.99999994</v>
      </c>
      <c r="BJ39" s="195">
        <f t="shared" si="56"/>
        <v>353894399.99999994</v>
      </c>
      <c r="BK39" s="195">
        <f>BK35/$B$23</f>
        <v>393215999.99999994</v>
      </c>
      <c r="BL39" s="221">
        <f>BL35/$B$23</f>
        <v>786431999.99999988</v>
      </c>
      <c r="BM39" s="193">
        <f t="shared" ref="BM39" si="57">$B$21</f>
        <v>1392156000</v>
      </c>
      <c r="BN39" s="185">
        <f>BN35</f>
        <v>1392156000</v>
      </c>
      <c r="BO39" s="227">
        <f>($B$21*$B$24)/$B$23</f>
        <v>125294039.99999999</v>
      </c>
      <c r="BP39" s="25"/>
      <c r="BQ39" s="25"/>
      <c r="BR39" s="66"/>
    </row>
    <row r="40" spans="1:70" x14ac:dyDescent="0.25">
      <c r="A40" s="41" t="s">
        <v>111</v>
      </c>
      <c r="B40" s="16"/>
      <c r="C40" s="16"/>
      <c r="D40" s="16"/>
      <c r="E40" s="16"/>
      <c r="F40" s="16"/>
      <c r="G40" s="16"/>
      <c r="H40" s="16"/>
      <c r="I40" s="16"/>
      <c r="J40" s="16"/>
      <c r="K40" s="16"/>
      <c r="L40" s="16"/>
      <c r="M40" s="16"/>
      <c r="N40" s="16"/>
      <c r="O40" s="17"/>
      <c r="P40" s="181">
        <f>P39/$B$21</f>
        <v>3.3670795514295809E-8</v>
      </c>
      <c r="Q40" s="182">
        <f t="shared" ref="Q40:AL40" si="58">Q39/$B$21</f>
        <v>6.7341591028591617E-8</v>
      </c>
      <c r="R40" s="182">
        <f t="shared" si="58"/>
        <v>1.3468318205718323E-7</v>
      </c>
      <c r="S40" s="65">
        <f t="shared" si="58"/>
        <v>2.6936636411436647E-7</v>
      </c>
      <c r="T40" s="65">
        <f t="shared" si="58"/>
        <v>5.3873272822873294E-7</v>
      </c>
      <c r="U40" s="65">
        <f t="shared" si="58"/>
        <v>1.0774654564574659E-6</v>
      </c>
      <c r="V40" s="65">
        <f t="shared" si="58"/>
        <v>2.1549309129149318E-6</v>
      </c>
      <c r="W40" s="36">
        <f t="shared" si="58"/>
        <v>4.3098618258298635E-6</v>
      </c>
      <c r="X40" s="36">
        <f t="shared" si="58"/>
        <v>8.619723651659727E-6</v>
      </c>
      <c r="Y40" s="36">
        <f t="shared" si="58"/>
        <v>1.7239447303319454E-5</v>
      </c>
      <c r="Z40" s="36">
        <f t="shared" si="58"/>
        <v>3.4478894606638908E-5</v>
      </c>
      <c r="AA40" s="36">
        <f t="shared" si="58"/>
        <v>6.8957789213277816E-5</v>
      </c>
      <c r="AB40" s="14">
        <f t="shared" si="58"/>
        <v>1.3791557842655563E-4</v>
      </c>
      <c r="AC40" s="14">
        <f t="shared" si="58"/>
        <v>2.7583115685311126E-4</v>
      </c>
      <c r="AD40" s="14">
        <f t="shared" si="58"/>
        <v>5.5166231370622253E-4</v>
      </c>
      <c r="AE40" s="14">
        <f t="shared" si="58"/>
        <v>1.1033246274124451E-3</v>
      </c>
      <c r="AF40" s="15">
        <f t="shared" si="58"/>
        <v>2.2066492548248901E-3</v>
      </c>
      <c r="AG40" s="15">
        <f t="shared" si="58"/>
        <v>4.4132985096497802E-3</v>
      </c>
      <c r="AH40" s="15">
        <f t="shared" ref="AH40:AK40" si="59">AH39/$B$21</f>
        <v>5.2959582115797363E-3</v>
      </c>
      <c r="AI40" s="15">
        <f t="shared" si="59"/>
        <v>6.1786179135096915E-3</v>
      </c>
      <c r="AJ40" s="15">
        <f t="shared" si="59"/>
        <v>7.0612776154396475E-3</v>
      </c>
      <c r="AK40" s="15">
        <f t="shared" si="59"/>
        <v>7.9439373173696044E-3</v>
      </c>
      <c r="AL40" s="15">
        <f t="shared" si="58"/>
        <v>8.8265970192995605E-3</v>
      </c>
      <c r="AM40" s="15">
        <f t="shared" ref="AM40:AP40" si="60">AM39/$B$21</f>
        <v>1.0591916423159473E-2</v>
      </c>
      <c r="AN40" s="15">
        <f t="shared" si="60"/>
        <v>1.2357235827019383E-2</v>
      </c>
      <c r="AO40" s="15">
        <f t="shared" si="60"/>
        <v>1.4122555230879295E-2</v>
      </c>
      <c r="AP40" s="15">
        <f t="shared" si="60"/>
        <v>1.5887874634739209E-2</v>
      </c>
      <c r="AQ40" s="15">
        <f>AQ39/$B$21</f>
        <v>1.7653194038599121E-2</v>
      </c>
      <c r="AR40" s="15">
        <f t="shared" ref="AR40:AU40" si="61">AR39/$B$21</f>
        <v>2.1183832846318945E-2</v>
      </c>
      <c r="AS40" s="15">
        <f t="shared" si="61"/>
        <v>2.4714471654038766E-2</v>
      </c>
      <c r="AT40" s="15">
        <f t="shared" si="61"/>
        <v>2.824511046175859E-2</v>
      </c>
      <c r="AU40" s="15">
        <f t="shared" si="61"/>
        <v>3.1775749269478418E-2</v>
      </c>
      <c r="AV40" s="72">
        <f t="shared" ref="AV40:BM40" si="62">AV39/$B$21</f>
        <v>3.5306388077198242E-2</v>
      </c>
      <c r="AW40" s="72">
        <f t="shared" ref="AW40:AZ40" si="63">AW39/$B$21</f>
        <v>4.236766569263789E-2</v>
      </c>
      <c r="AX40" s="72">
        <f t="shared" si="63"/>
        <v>4.9428943308077532E-2</v>
      </c>
      <c r="AY40" s="72">
        <f t="shared" si="63"/>
        <v>5.649022092351718E-2</v>
      </c>
      <c r="AZ40" s="72">
        <f t="shared" si="63"/>
        <v>6.3551498538956835E-2</v>
      </c>
      <c r="BA40" s="72">
        <f t="shared" si="62"/>
        <v>7.0612776154396484E-2</v>
      </c>
      <c r="BB40" s="72">
        <f t="shared" ref="BB40:BE40" si="64">BB39/$B$21</f>
        <v>8.4735331385275781E-2</v>
      </c>
      <c r="BC40" s="72">
        <f t="shared" si="64"/>
        <v>9.8857886616155063E-2</v>
      </c>
      <c r="BD40" s="72">
        <f t="shared" si="64"/>
        <v>0.11298044184703436</v>
      </c>
      <c r="BE40" s="72">
        <f t="shared" si="64"/>
        <v>0.12710299707791367</v>
      </c>
      <c r="BF40" s="72">
        <f t="shared" ref="BF40:BJ40" si="65">BF39/$B$21</f>
        <v>0.14122555230879297</v>
      </c>
      <c r="BG40" s="72">
        <f t="shared" si="65"/>
        <v>0.16947066277055156</v>
      </c>
      <c r="BH40" s="72">
        <f t="shared" si="65"/>
        <v>0.19771577323231013</v>
      </c>
      <c r="BI40" s="72">
        <f t="shared" si="65"/>
        <v>0.22596088369406872</v>
      </c>
      <c r="BJ40" s="72">
        <f t="shared" si="65"/>
        <v>0.25420599415582734</v>
      </c>
      <c r="BK40" s="72">
        <f t="shared" si="62"/>
        <v>0.28245110461758594</v>
      </c>
      <c r="BL40" s="222">
        <f t="shared" ref="BL40" si="66">BL39/$B$21</f>
        <v>0.56490220923517187</v>
      </c>
      <c r="BM40" s="167">
        <f t="shared" si="62"/>
        <v>1</v>
      </c>
      <c r="BN40" s="166">
        <v>1</v>
      </c>
      <c r="BO40" s="226">
        <f>BO39/B21</f>
        <v>8.9999999999999983E-2</v>
      </c>
      <c r="BP40" s="25"/>
      <c r="BQ40" s="25"/>
      <c r="BR40" s="66"/>
    </row>
    <row r="41" spans="1:70" x14ac:dyDescent="0.25">
      <c r="A41" s="41" t="s">
        <v>161</v>
      </c>
      <c r="B41" s="16"/>
      <c r="C41" s="16"/>
      <c r="D41" s="16"/>
      <c r="E41" s="16"/>
      <c r="F41" s="16"/>
      <c r="G41" s="16"/>
      <c r="H41" s="16"/>
      <c r="I41" s="16"/>
      <c r="J41" s="16"/>
      <c r="K41" s="16"/>
      <c r="L41" s="16"/>
      <c r="M41" s="16"/>
      <c r="N41" s="16"/>
      <c r="O41" s="17"/>
      <c r="P41" s="183">
        <f>P39-P35</f>
        <v>15.624999999999993</v>
      </c>
      <c r="Q41" s="184">
        <f t="shared" ref="Q41:AG41" si="67">Q39-Q35</f>
        <v>31.249999999999986</v>
      </c>
      <c r="R41" s="184">
        <f t="shared" si="67"/>
        <v>62.499999999999972</v>
      </c>
      <c r="S41" s="184">
        <f t="shared" si="67"/>
        <v>124.99999999999994</v>
      </c>
      <c r="T41" s="184">
        <f>T39-T35</f>
        <v>249.99999999999989</v>
      </c>
      <c r="U41" s="184">
        <f t="shared" si="67"/>
        <v>499.99999999999977</v>
      </c>
      <c r="V41" s="184">
        <f t="shared" si="67"/>
        <v>999.99999999999955</v>
      </c>
      <c r="W41" s="184">
        <f t="shared" si="67"/>
        <v>1999.9999999999991</v>
      </c>
      <c r="X41" s="184">
        <f t="shared" si="67"/>
        <v>3999.9999999999982</v>
      </c>
      <c r="Y41" s="184">
        <f t="shared" si="67"/>
        <v>7999.9999999999964</v>
      </c>
      <c r="Z41" s="184">
        <f t="shared" si="67"/>
        <v>15999.999999999993</v>
      </c>
      <c r="AA41" s="184">
        <f t="shared" si="67"/>
        <v>31999.999999999985</v>
      </c>
      <c r="AB41" s="184">
        <f t="shared" si="67"/>
        <v>63999.999999999971</v>
      </c>
      <c r="AC41" s="184">
        <f t="shared" si="67"/>
        <v>127999.99999999994</v>
      </c>
      <c r="AD41" s="184">
        <f t="shared" si="67"/>
        <v>255999.99999999988</v>
      </c>
      <c r="AE41" s="184">
        <f t="shared" si="67"/>
        <v>511999.99999999977</v>
      </c>
      <c r="AF41" s="184">
        <f t="shared" si="67"/>
        <v>1023999.9999999995</v>
      </c>
      <c r="AG41" s="184">
        <f t="shared" si="67"/>
        <v>2047999.9999999991</v>
      </c>
      <c r="AH41" s="184">
        <f t="shared" ref="AH41:AK41" si="68">AH39-AH35</f>
        <v>2457599.9999999991</v>
      </c>
      <c r="AI41" s="184">
        <f t="shared" si="68"/>
        <v>2867199.9999999981</v>
      </c>
      <c r="AJ41" s="184">
        <f t="shared" si="68"/>
        <v>3276799.9999999981</v>
      </c>
      <c r="AK41" s="184">
        <f t="shared" si="68"/>
        <v>3686399.9999999981</v>
      </c>
      <c r="AL41" s="184">
        <f>AL39-AL35</f>
        <v>4095999.9999999981</v>
      </c>
      <c r="AM41" s="184">
        <f t="shared" ref="AM41:AP41" si="69">AM39-AM35</f>
        <v>4915199.9999999981</v>
      </c>
      <c r="AN41" s="184">
        <f t="shared" si="69"/>
        <v>5734399.9999999963</v>
      </c>
      <c r="AO41" s="184">
        <f t="shared" si="69"/>
        <v>6553599.9999999963</v>
      </c>
      <c r="AP41" s="184">
        <f t="shared" si="69"/>
        <v>7372799.9999999963</v>
      </c>
      <c r="AQ41" s="184">
        <f>AQ39-AQ35</f>
        <v>8191999.9999999963</v>
      </c>
      <c r="AR41" s="184">
        <f t="shared" ref="AR41:AU41" si="70">AR39-AR35</f>
        <v>9830399.9999999963</v>
      </c>
      <c r="AS41" s="184">
        <f t="shared" si="70"/>
        <v>11468799.999999993</v>
      </c>
      <c r="AT41" s="184">
        <f t="shared" si="70"/>
        <v>13107199.999999993</v>
      </c>
      <c r="AU41" s="184">
        <f t="shared" si="70"/>
        <v>14745599.999999993</v>
      </c>
      <c r="AV41" s="184">
        <f>AV39-AV35</f>
        <v>16383999.999999993</v>
      </c>
      <c r="AW41" s="184">
        <f t="shared" ref="AW41:AZ41" si="71">AW39-AW35</f>
        <v>19660799.999999993</v>
      </c>
      <c r="AX41" s="184">
        <f t="shared" si="71"/>
        <v>22937599.999999985</v>
      </c>
      <c r="AY41" s="184">
        <f t="shared" si="71"/>
        <v>26214399.999999985</v>
      </c>
      <c r="AZ41" s="184">
        <f t="shared" si="71"/>
        <v>29491199.999999985</v>
      </c>
      <c r="BA41" s="184">
        <f t="shared" ref="BA41:BM41" si="72">BA39</f>
        <v>98303999.999999985</v>
      </c>
      <c r="BB41" s="184">
        <f t="shared" ref="BB41:BE41" si="73">BB39</f>
        <v>117964799.99999999</v>
      </c>
      <c r="BC41" s="184">
        <f t="shared" si="73"/>
        <v>137625599.99999997</v>
      </c>
      <c r="BD41" s="184">
        <f t="shared" si="73"/>
        <v>157286399.99999997</v>
      </c>
      <c r="BE41" s="184">
        <f t="shared" si="73"/>
        <v>176947199.99999997</v>
      </c>
      <c r="BF41" s="184">
        <f t="shared" si="72"/>
        <v>196607999.99999997</v>
      </c>
      <c r="BG41" s="184">
        <f t="shared" ref="BG41:BJ41" si="74">BG39</f>
        <v>235929599.99999997</v>
      </c>
      <c r="BH41" s="184">
        <f t="shared" si="74"/>
        <v>275251199.99999994</v>
      </c>
      <c r="BI41" s="184">
        <f t="shared" si="74"/>
        <v>314572799.99999994</v>
      </c>
      <c r="BJ41" s="184">
        <f t="shared" si="74"/>
        <v>353894399.99999994</v>
      </c>
      <c r="BK41" s="184">
        <f t="shared" si="72"/>
        <v>393215999.99999994</v>
      </c>
      <c r="BL41" s="223">
        <f t="shared" ref="BL41" si="75">BL39</f>
        <v>786431999.99999988</v>
      </c>
      <c r="BM41" s="186">
        <f t="shared" si="72"/>
        <v>1392156000</v>
      </c>
      <c r="BN41" s="185">
        <f>BN39</f>
        <v>1392156000</v>
      </c>
      <c r="BO41" s="229">
        <f>BO39-BO35</f>
        <v>41764679.999999985</v>
      </c>
      <c r="BP41" s="25"/>
      <c r="BQ41" s="25"/>
      <c r="BR41" s="66"/>
    </row>
    <row r="42" spans="1:70" x14ac:dyDescent="0.25">
      <c r="A42" s="37" t="s">
        <v>162</v>
      </c>
      <c r="B42" s="39"/>
      <c r="C42" s="39"/>
      <c r="D42" s="39"/>
      <c r="E42" s="39"/>
      <c r="F42" s="39"/>
      <c r="G42" s="39"/>
      <c r="H42" s="39"/>
      <c r="I42" s="39"/>
      <c r="J42" s="39"/>
      <c r="K42" s="39"/>
      <c r="L42" s="39"/>
      <c r="M42" s="39"/>
      <c r="N42" s="39"/>
      <c r="O42" s="62"/>
      <c r="P42" s="190">
        <f>MIN((1/$B$23)*(2^(((P34 - 14) - $B$31)/$P$59)),P41)</f>
        <v>11.544204511089116</v>
      </c>
      <c r="Q42" s="191">
        <f>MIN((1/$B$23)*(2^(((Q34 - 14) - $B$31)/$P$59)),Q41)</f>
        <v>18.766415774250614</v>
      </c>
      <c r="R42" s="191">
        <f>MIN((1/$B$23)*(2^(((R34 - 14) - $B$31)/$P$59)),R41)</f>
        <v>30.506940575571679</v>
      </c>
      <c r="S42" s="184">
        <f t="shared" ref="S42:AG42" si="76">MIN(($P$35/$B$23)*(2^(((S34 - 14) - $P$34)/HLOOKUP((S34-14)-$B$31,$P$57:$BO$59,3,TRUE))),S41)</f>
        <v>51.658851335641849</v>
      </c>
      <c r="T42" s="184">
        <f t="shared" si="76"/>
        <v>96.874999999999972</v>
      </c>
      <c r="U42" s="184">
        <f t="shared" si="76"/>
        <v>173.15221971609475</v>
      </c>
      <c r="V42" s="184">
        <f t="shared" si="76"/>
        <v>265.8642582082179</v>
      </c>
      <c r="W42" s="184">
        <f t="shared" si="76"/>
        <v>515.89713821581324</v>
      </c>
      <c r="X42" s="184">
        <f t="shared" si="76"/>
        <v>1320.3099621383944</v>
      </c>
      <c r="Y42" s="184">
        <f t="shared" si="76"/>
        <v>4977.643138716754</v>
      </c>
      <c r="Z42" s="184">
        <f t="shared" si="76"/>
        <v>15999.999999999993</v>
      </c>
      <c r="AA42" s="184">
        <f t="shared" si="76"/>
        <v>31999.999999999985</v>
      </c>
      <c r="AB42" s="184">
        <f t="shared" si="76"/>
        <v>63999.999999999971</v>
      </c>
      <c r="AC42" s="184">
        <f t="shared" si="76"/>
        <v>127999.99999999994</v>
      </c>
      <c r="AD42" s="184">
        <f t="shared" si="76"/>
        <v>255999.99999999988</v>
      </c>
      <c r="AE42" s="184">
        <f t="shared" si="76"/>
        <v>511999.99999999977</v>
      </c>
      <c r="AF42" s="184">
        <f t="shared" si="76"/>
        <v>1023999.9999999995</v>
      </c>
      <c r="AG42" s="184">
        <f t="shared" si="76"/>
        <v>2047999.9999999991</v>
      </c>
      <c r="AH42" s="184">
        <f t="shared" ref="AH42:AK42" si="77">MIN(($P$35/$B$23)*(2^(((AH34 - 14) - $P$34)/HLOOKUP((AH34-14)-$B$31,$P$57:$BO$59,3,TRUE))),AH41)</f>
        <v>2457599.9999999991</v>
      </c>
      <c r="AI42" s="184">
        <f t="shared" si="77"/>
        <v>2867199.9999999981</v>
      </c>
      <c r="AJ42" s="184">
        <f t="shared" si="77"/>
        <v>3276799.9999999981</v>
      </c>
      <c r="AK42" s="184">
        <f t="shared" si="77"/>
        <v>3686399.9999999981</v>
      </c>
      <c r="AL42" s="184">
        <f t="shared" ref="AL42:BN42" si="78">MIN(($P$35/$B$23)*(2^(((AL34 - 14) - $P$34)/HLOOKUP((AL34-14)-$B$31,$P$57:$BO$59,3,TRUE))),AL41)</f>
        <v>4095999.9999999981</v>
      </c>
      <c r="AM42" s="184">
        <f t="shared" si="78"/>
        <v>4915199.9999999981</v>
      </c>
      <c r="AN42" s="184">
        <f t="shared" si="78"/>
        <v>5734399.9999999963</v>
      </c>
      <c r="AO42" s="184">
        <f t="shared" si="78"/>
        <v>6553599.9999999963</v>
      </c>
      <c r="AP42" s="184">
        <f t="shared" si="78"/>
        <v>7372799.9999999963</v>
      </c>
      <c r="AQ42" s="184">
        <f t="shared" si="78"/>
        <v>8191999.9999999963</v>
      </c>
      <c r="AR42" s="184">
        <f t="shared" si="78"/>
        <v>9830399.9999999963</v>
      </c>
      <c r="AS42" s="184">
        <f t="shared" si="78"/>
        <v>11468799.999999993</v>
      </c>
      <c r="AT42" s="184">
        <f t="shared" si="78"/>
        <v>13107199.999999993</v>
      </c>
      <c r="AU42" s="184">
        <f t="shared" si="78"/>
        <v>14745599.999999993</v>
      </c>
      <c r="AV42" s="184">
        <f t="shared" si="78"/>
        <v>16383999.999999993</v>
      </c>
      <c r="AW42" s="184">
        <f t="shared" si="78"/>
        <v>19660799.999999993</v>
      </c>
      <c r="AX42" s="184">
        <f t="shared" si="78"/>
        <v>22937599.999999985</v>
      </c>
      <c r="AY42" s="184">
        <f t="shared" si="78"/>
        <v>26214399.999999985</v>
      </c>
      <c r="AZ42" s="184">
        <f t="shared" si="78"/>
        <v>29491199.999999985</v>
      </c>
      <c r="BA42" s="184">
        <f t="shared" si="78"/>
        <v>98303999.999999985</v>
      </c>
      <c r="BB42" s="184">
        <f t="shared" si="78"/>
        <v>117964799.99999999</v>
      </c>
      <c r="BC42" s="184">
        <f t="shared" si="78"/>
        <v>137625599.99999997</v>
      </c>
      <c r="BD42" s="184">
        <f t="shared" si="78"/>
        <v>157286399.99999997</v>
      </c>
      <c r="BE42" s="184">
        <f t="shared" si="78"/>
        <v>176947199.99999997</v>
      </c>
      <c r="BF42" s="184">
        <f t="shared" si="78"/>
        <v>196607999.99999997</v>
      </c>
      <c r="BG42" s="184">
        <f t="shared" si="78"/>
        <v>235929599.99999997</v>
      </c>
      <c r="BH42" s="184">
        <f t="shared" si="78"/>
        <v>275251199.99999994</v>
      </c>
      <c r="BI42" s="184">
        <f t="shared" si="78"/>
        <v>314572799.99999994</v>
      </c>
      <c r="BJ42" s="184">
        <f t="shared" si="78"/>
        <v>353894399.99999994</v>
      </c>
      <c r="BK42" s="184">
        <f t="shared" si="78"/>
        <v>393215999.99999994</v>
      </c>
      <c r="BL42" s="224">
        <f t="shared" si="78"/>
        <v>786431999.99999988</v>
      </c>
      <c r="BM42" s="188">
        <f t="shared" si="78"/>
        <v>1392156000</v>
      </c>
      <c r="BN42" s="187">
        <f t="shared" si="78"/>
        <v>1392156000</v>
      </c>
      <c r="BO42" s="229"/>
      <c r="BP42" s="25"/>
      <c r="BQ42" s="25"/>
      <c r="BR42" s="66"/>
    </row>
    <row r="43" spans="1:70" x14ac:dyDescent="0.25">
      <c r="A43" s="41" t="s">
        <v>159</v>
      </c>
      <c r="B43" s="16"/>
      <c r="C43" s="16"/>
      <c r="D43" s="16"/>
      <c r="E43" s="16"/>
      <c r="F43" s="16"/>
      <c r="G43" s="16"/>
      <c r="H43" s="16"/>
      <c r="I43" s="16"/>
      <c r="J43" s="16"/>
      <c r="K43" s="16"/>
      <c r="L43" s="16"/>
      <c r="M43" s="16"/>
      <c r="N43" s="16"/>
      <c r="O43" s="16"/>
      <c r="P43" s="198">
        <f t="shared" ref="P43:BN43" si="79">P35*$B$27</f>
        <v>25.3125</v>
      </c>
      <c r="Q43" s="199">
        <f t="shared" si="79"/>
        <v>50.625</v>
      </c>
      <c r="R43" s="199">
        <f t="shared" si="79"/>
        <v>101.25</v>
      </c>
      <c r="S43" s="199">
        <f t="shared" si="79"/>
        <v>202.5</v>
      </c>
      <c r="T43" s="199">
        <f t="shared" si="79"/>
        <v>405</v>
      </c>
      <c r="U43" s="199">
        <f t="shared" si="79"/>
        <v>810</v>
      </c>
      <c r="V43" s="199">
        <f t="shared" si="79"/>
        <v>1620</v>
      </c>
      <c r="W43" s="199">
        <f t="shared" si="79"/>
        <v>3240</v>
      </c>
      <c r="X43" s="199">
        <f t="shared" si="79"/>
        <v>6480</v>
      </c>
      <c r="Y43" s="199">
        <f t="shared" si="79"/>
        <v>12960</v>
      </c>
      <c r="Z43" s="199">
        <f t="shared" si="79"/>
        <v>25920</v>
      </c>
      <c r="AA43" s="199">
        <f t="shared" si="79"/>
        <v>51840</v>
      </c>
      <c r="AB43" s="199">
        <f t="shared" si="79"/>
        <v>103680</v>
      </c>
      <c r="AC43" s="199">
        <f t="shared" si="79"/>
        <v>207360</v>
      </c>
      <c r="AD43" s="199">
        <f t="shared" si="79"/>
        <v>414720</v>
      </c>
      <c r="AE43" s="199">
        <f t="shared" si="79"/>
        <v>829440</v>
      </c>
      <c r="AF43" s="199">
        <f t="shared" si="79"/>
        <v>1658880</v>
      </c>
      <c r="AG43" s="199">
        <f t="shared" si="79"/>
        <v>3317760</v>
      </c>
      <c r="AH43" s="199">
        <f t="shared" ref="AH43:AK43" si="80">AH35*$B$27</f>
        <v>3981312.0000000005</v>
      </c>
      <c r="AI43" s="199">
        <f t="shared" si="80"/>
        <v>4644864</v>
      </c>
      <c r="AJ43" s="199">
        <f t="shared" si="80"/>
        <v>5308416</v>
      </c>
      <c r="AK43" s="199">
        <f t="shared" si="80"/>
        <v>5971968</v>
      </c>
      <c r="AL43" s="199">
        <f t="shared" si="79"/>
        <v>6635520</v>
      </c>
      <c r="AM43" s="199">
        <f t="shared" ref="AM43:AP43" si="81">AM35*$B$27</f>
        <v>7962624.0000000009</v>
      </c>
      <c r="AN43" s="199">
        <f t="shared" si="81"/>
        <v>9289728</v>
      </c>
      <c r="AO43" s="199">
        <f t="shared" si="81"/>
        <v>10616832</v>
      </c>
      <c r="AP43" s="199">
        <f t="shared" si="81"/>
        <v>11943936</v>
      </c>
      <c r="AQ43" s="199">
        <f t="shared" si="79"/>
        <v>13271040</v>
      </c>
      <c r="AR43" s="199">
        <f t="shared" ref="AR43:AU43" si="82">AR35*$B$27</f>
        <v>15925248.000000002</v>
      </c>
      <c r="AS43" s="199">
        <f t="shared" si="82"/>
        <v>18579456</v>
      </c>
      <c r="AT43" s="199">
        <f t="shared" si="82"/>
        <v>21233664</v>
      </c>
      <c r="AU43" s="199">
        <f t="shared" si="82"/>
        <v>23887872</v>
      </c>
      <c r="AV43" s="199">
        <f t="shared" ref="AV43:BM43" si="83">AV35*$B$27</f>
        <v>26542080</v>
      </c>
      <c r="AW43" s="199">
        <f t="shared" ref="AW43:AZ43" si="84">AW35*$B$27</f>
        <v>31850496.000000004</v>
      </c>
      <c r="AX43" s="199">
        <f t="shared" si="84"/>
        <v>37158912</v>
      </c>
      <c r="AY43" s="199">
        <f t="shared" si="84"/>
        <v>42467328</v>
      </c>
      <c r="AZ43" s="199">
        <f t="shared" si="84"/>
        <v>47775744</v>
      </c>
      <c r="BA43" s="199">
        <f t="shared" si="83"/>
        <v>53084160</v>
      </c>
      <c r="BB43" s="199">
        <f t="shared" ref="BB43:BE43" si="85">BB35*$B$27</f>
        <v>63700992.000000007</v>
      </c>
      <c r="BC43" s="199">
        <f t="shared" si="85"/>
        <v>74317824</v>
      </c>
      <c r="BD43" s="199">
        <f t="shared" si="85"/>
        <v>84934656</v>
      </c>
      <c r="BE43" s="199">
        <f t="shared" si="85"/>
        <v>95551488</v>
      </c>
      <c r="BF43" s="199">
        <f t="shared" si="83"/>
        <v>106168320</v>
      </c>
      <c r="BG43" s="199">
        <f t="shared" ref="BG43:BJ43" si="86">BG35*$B$27</f>
        <v>127401984.00000001</v>
      </c>
      <c r="BH43" s="199">
        <f t="shared" si="86"/>
        <v>148635648</v>
      </c>
      <c r="BI43" s="199">
        <f t="shared" si="86"/>
        <v>169869312</v>
      </c>
      <c r="BJ43" s="199">
        <f t="shared" si="86"/>
        <v>191102976</v>
      </c>
      <c r="BK43" s="199">
        <f t="shared" si="83"/>
        <v>212336640</v>
      </c>
      <c r="BL43" s="223">
        <f t="shared" ref="BL43" si="87">BL35*$B$27</f>
        <v>424673280</v>
      </c>
      <c r="BM43" s="186">
        <f t="shared" si="83"/>
        <v>849346560</v>
      </c>
      <c r="BN43" s="185">
        <f t="shared" si="79"/>
        <v>1127646360</v>
      </c>
      <c r="BO43" s="229">
        <f>BO35*B27</f>
        <v>67658781.600000009</v>
      </c>
      <c r="BP43" s="25"/>
      <c r="BQ43" s="25"/>
      <c r="BR43" s="66"/>
    </row>
    <row r="44" spans="1:70" x14ac:dyDescent="0.25">
      <c r="A44" s="41" t="s">
        <v>171</v>
      </c>
      <c r="B44" s="16"/>
      <c r="C44" s="16"/>
      <c r="D44" s="16"/>
      <c r="E44" s="16"/>
      <c r="F44" s="16"/>
      <c r="G44" s="16"/>
      <c r="H44" s="16"/>
      <c r="I44" s="16"/>
      <c r="J44" s="16"/>
      <c r="K44" s="16"/>
      <c r="L44" s="16"/>
      <c r="M44" s="16"/>
      <c r="N44" s="16"/>
      <c r="O44" s="16"/>
      <c r="P44" s="190">
        <f>P43-(1*$B$27)*(2^(((P34 - 14) - $B$31)/$P$59))</f>
        <v>19.078629564011877</v>
      </c>
      <c r="Q44" s="191">
        <f>Q43-(1*$B$27)*(2^(((Q34 - 14) - $B$31)/$P$59))</f>
        <v>40.491135481904664</v>
      </c>
      <c r="R44" s="191">
        <f>R43-(1*$B$27)*(2^(((R34 - 14) - $B$31)/$P$59))</f>
        <v>84.776252089191289</v>
      </c>
      <c r="S44" s="189">
        <f t="shared" ref="S44:AG44" si="88">MAX(S43-(($P$35*$B$27)*(2^(((S34 -14) - $P$34)/HLOOKUP((S34-14)-$B$31,$P$57:$BO$59,3,TRUE)))),0)</f>
        <v>174.60422027875339</v>
      </c>
      <c r="T44" s="189">
        <f t="shared" si="88"/>
        <v>352.6875</v>
      </c>
      <c r="U44" s="189">
        <f t="shared" si="88"/>
        <v>716.49780135330877</v>
      </c>
      <c r="V44" s="189">
        <f t="shared" si="88"/>
        <v>1476.4333005675624</v>
      </c>
      <c r="W44" s="189">
        <f t="shared" si="88"/>
        <v>2961.4155453634608</v>
      </c>
      <c r="X44" s="189">
        <f t="shared" si="88"/>
        <v>5767.0326204452667</v>
      </c>
      <c r="Y44" s="189">
        <f t="shared" si="88"/>
        <v>10272.072705092953</v>
      </c>
      <c r="Z44" s="189">
        <f t="shared" si="88"/>
        <v>12088.364484061041</v>
      </c>
      <c r="AA44" s="189">
        <f t="shared" si="88"/>
        <v>8416.0984022079647</v>
      </c>
      <c r="AB44" s="189">
        <f t="shared" si="88"/>
        <v>15907.44508458137</v>
      </c>
      <c r="AC44" s="189">
        <f t="shared" si="88"/>
        <v>76982.028228321709</v>
      </c>
      <c r="AD44" s="189">
        <f t="shared" si="88"/>
        <v>62995.054843795486</v>
      </c>
      <c r="AE44" s="189">
        <f t="shared" si="88"/>
        <v>43578.686345501919</v>
      </c>
      <c r="AF44" s="189">
        <f t="shared" si="88"/>
        <v>143200.15426563029</v>
      </c>
      <c r="AG44" s="189">
        <f t="shared" si="88"/>
        <v>0</v>
      </c>
      <c r="AH44" s="189">
        <f t="shared" ref="AH44:AK44" si="89">MAX(AH43-(($P$35*$B$27)*(2^(((AH34 -14) - $P$34)/HLOOKUP((AH34-14)-$B$31,$P$57:$BO$59,3,TRUE)))),0)</f>
        <v>0</v>
      </c>
      <c r="AI44" s="189">
        <f t="shared" si="89"/>
        <v>18770.659295768477</v>
      </c>
      <c r="AJ44" s="189">
        <f t="shared" si="89"/>
        <v>0</v>
      </c>
      <c r="AK44" s="189">
        <f t="shared" si="89"/>
        <v>0</v>
      </c>
      <c r="AL44" s="189">
        <f t="shared" ref="AL44:BN44" si="90">MAX(AL43-(($P$35*$B$27)*(2^(((AL34 -14) - $P$34)/HLOOKUP((AL34-14)-$B$31,$P$57:$BO$59,3,TRUE)))),0)</f>
        <v>0</v>
      </c>
      <c r="AM44" s="189">
        <f t="shared" si="90"/>
        <v>0</v>
      </c>
      <c r="AN44" s="189">
        <f t="shared" si="90"/>
        <v>0</v>
      </c>
      <c r="AO44" s="189">
        <f t="shared" si="90"/>
        <v>0</v>
      </c>
      <c r="AP44" s="189">
        <f t="shared" si="90"/>
        <v>0</v>
      </c>
      <c r="AQ44" s="189">
        <f t="shared" si="90"/>
        <v>0</v>
      </c>
      <c r="AR44" s="189">
        <f t="shared" si="90"/>
        <v>0</v>
      </c>
      <c r="AS44" s="189">
        <f t="shared" si="90"/>
        <v>0</v>
      </c>
      <c r="AT44" s="189">
        <f t="shared" si="90"/>
        <v>0</v>
      </c>
      <c r="AU44" s="189">
        <f t="shared" si="90"/>
        <v>0</v>
      </c>
      <c r="AV44" s="189">
        <f t="shared" si="90"/>
        <v>0</v>
      </c>
      <c r="AW44" s="189">
        <f t="shared" si="90"/>
        <v>0</v>
      </c>
      <c r="AX44" s="189">
        <f t="shared" si="90"/>
        <v>0</v>
      </c>
      <c r="AY44" s="189">
        <f t="shared" si="90"/>
        <v>0</v>
      </c>
      <c r="AZ44" s="189">
        <f t="shared" si="90"/>
        <v>0</v>
      </c>
      <c r="BA44" s="189">
        <f t="shared" si="90"/>
        <v>0</v>
      </c>
      <c r="BB44" s="189">
        <f t="shared" si="90"/>
        <v>0</v>
      </c>
      <c r="BC44" s="189">
        <f t="shared" si="90"/>
        <v>0</v>
      </c>
      <c r="BD44" s="189">
        <f t="shared" si="90"/>
        <v>0</v>
      </c>
      <c r="BE44" s="189">
        <f t="shared" si="90"/>
        <v>0</v>
      </c>
      <c r="BF44" s="189">
        <f t="shared" si="90"/>
        <v>0</v>
      </c>
      <c r="BG44" s="189">
        <f t="shared" si="90"/>
        <v>0</v>
      </c>
      <c r="BH44" s="189">
        <f t="shared" si="90"/>
        <v>0</v>
      </c>
      <c r="BI44" s="189">
        <f t="shared" si="90"/>
        <v>0</v>
      </c>
      <c r="BJ44" s="189">
        <f t="shared" si="90"/>
        <v>0</v>
      </c>
      <c r="BK44" s="189">
        <f t="shared" si="90"/>
        <v>0</v>
      </c>
      <c r="BL44" s="224">
        <f t="shared" si="90"/>
        <v>0</v>
      </c>
      <c r="BM44" s="188">
        <f t="shared" si="90"/>
        <v>0</v>
      </c>
      <c r="BN44" s="187">
        <f t="shared" si="90"/>
        <v>0</v>
      </c>
      <c r="BO44" s="227"/>
      <c r="BP44" s="25"/>
      <c r="BQ44" s="25"/>
      <c r="BR44" s="66"/>
    </row>
    <row r="45" spans="1:70" x14ac:dyDescent="0.25">
      <c r="A45" s="61" t="s">
        <v>109</v>
      </c>
      <c r="B45" s="9"/>
      <c r="C45" s="9"/>
      <c r="D45" s="9"/>
      <c r="E45" s="9"/>
      <c r="F45" s="9"/>
      <c r="G45" s="9"/>
      <c r="H45" s="9"/>
      <c r="I45" s="9"/>
      <c r="J45" s="9"/>
      <c r="K45" s="9"/>
      <c r="L45" s="9"/>
      <c r="M45" s="9"/>
      <c r="N45" s="9"/>
      <c r="O45" s="5"/>
      <c r="P45" s="209">
        <f>(1*($B$28+$B$29))*(2^(((P34 - 7) - $B$31)/$P$59))</f>
        <v>2.8870253994390738</v>
      </c>
      <c r="Q45" s="204">
        <f>(1*($B$28+$B$29))*(2^(((Q34 - 7) - $B$31)/$P$59))</f>
        <v>4.6931877328275249</v>
      </c>
      <c r="R45" s="195">
        <f t="shared" ref="R45:AG45" si="91">($P$35*($B$28+$B$29))*(2^(((R34-7)-$P$34)/HLOOKUP((R34-7)-$B$31,$P$57:$BO$59,3,TRUE)))</f>
        <v>7.9471976804692028</v>
      </c>
      <c r="S45" s="195">
        <f t="shared" si="91"/>
        <v>18.968645416344785</v>
      </c>
      <c r="T45" s="195">
        <f t="shared" si="91"/>
        <v>29.467543857131108</v>
      </c>
      <c r="U45" s="195">
        <f t="shared" si="91"/>
        <v>56.748395631433958</v>
      </c>
      <c r="V45" s="195">
        <f t="shared" si="91"/>
        <v>123.46509239906847</v>
      </c>
      <c r="W45" s="195">
        <f t="shared" si="91"/>
        <v>227.38643858014458</v>
      </c>
      <c r="X45" s="195">
        <f t="shared" si="91"/>
        <v>539.69701610130301</v>
      </c>
      <c r="Y45" s="195">
        <f t="shared" si="91"/>
        <v>1754.1437959922339</v>
      </c>
      <c r="Z45" s="195">
        <f t="shared" si="91"/>
        <v>5743.7813709348993</v>
      </c>
      <c r="AA45" s="195">
        <f t="shared" si="91"/>
        <v>10890.879945956123</v>
      </c>
      <c r="AB45" s="195">
        <f t="shared" si="91"/>
        <v>23844.437956518799</v>
      </c>
      <c r="AC45" s="195">
        <f t="shared" si="91"/>
        <v>64604.289705310286</v>
      </c>
      <c r="AD45" s="195">
        <f t="shared" si="91"/>
        <v>161957.78273044966</v>
      </c>
      <c r="AE45" s="195">
        <f t="shared" si="91"/>
        <v>337014.4011297003</v>
      </c>
      <c r="AF45" s="195">
        <f t="shared" si="91"/>
        <v>613826.46830447321</v>
      </c>
      <c r="AG45" s="195">
        <f t="shared" si="91"/>
        <v>2010393.4225772631</v>
      </c>
      <c r="AH45" s="290">
        <f t="shared" ref="AH45:AK45" si="92">($P$35*($B$28+$B$29))*(2^(((AH34-7)-$P$34)/HLOOKUP((AH34-7)-$B$31,$P$57:$BO$59,3,TRUE)))</f>
        <v>956675.80008620804</v>
      </c>
      <c r="AI45" s="290">
        <f t="shared" si="92"/>
        <v>1101235.6401215366</v>
      </c>
      <c r="AJ45" s="290">
        <f t="shared" si="92"/>
        <v>1364529.5567660872</v>
      </c>
      <c r="AK45" s="290">
        <f t="shared" si="92"/>
        <v>1706517.6818449753</v>
      </c>
      <c r="AL45" s="195">
        <f t="shared" ref="AL45:BM45" si="93">($P$35*($B$28+$B$29))*(2^(((AL34-7)-$P$34)/HLOOKUP((AL34-7)-$B$31,$P$57:$BO$59,3,TRUE)))</f>
        <v>2356420.7430199692</v>
      </c>
      <c r="AM45" s="195">
        <f t="shared" si="93"/>
        <v>49564397.517196603</v>
      </c>
      <c r="AN45" s="290">
        <f t="shared" si="93"/>
        <v>16346104.704848859</v>
      </c>
      <c r="AO45" s="290">
        <f t="shared" si="93"/>
        <v>17433334.888822176</v>
      </c>
      <c r="AP45" s="290">
        <f t="shared" si="93"/>
        <v>14920063.685403436</v>
      </c>
      <c r="AQ45" s="290">
        <f t="shared" si="93"/>
        <v>13533698.714409493</v>
      </c>
      <c r="AR45" s="290">
        <f t="shared" si="93"/>
        <v>12728084.452367041</v>
      </c>
      <c r="AS45" s="290">
        <f t="shared" si="93"/>
        <v>13479154.966510585</v>
      </c>
      <c r="AT45" s="290">
        <f t="shared" si="93"/>
        <v>14174455.270191099</v>
      </c>
      <c r="AU45" s="290">
        <f t="shared" si="93"/>
        <v>14840871.372444957</v>
      </c>
      <c r="AV45" s="290">
        <f t="shared" si="93"/>
        <v>15492079.059764657</v>
      </c>
      <c r="AW45" s="290">
        <f t="shared" si="93"/>
        <v>16135346.425538948</v>
      </c>
      <c r="AX45" s="290">
        <f t="shared" si="93"/>
        <v>18397138.739955779</v>
      </c>
      <c r="AY45" s="290">
        <f t="shared" si="93"/>
        <v>20494111.038161296</v>
      </c>
      <c r="AZ45" s="290">
        <f t="shared" si="93"/>
        <v>22463861.280025061</v>
      </c>
      <c r="BA45" s="290">
        <f t="shared" si="93"/>
        <v>24333824.209941149</v>
      </c>
      <c r="BB45" s="290">
        <f t="shared" si="93"/>
        <v>26124341.78320187</v>
      </c>
      <c r="BC45" s="290">
        <f t="shared" si="93"/>
        <v>30503213.430660248</v>
      </c>
      <c r="BD45" s="290">
        <f t="shared" si="93"/>
        <v>34676308.415231526</v>
      </c>
      <c r="BE45" s="290">
        <f t="shared" si="93"/>
        <v>38675513.74217844</v>
      </c>
      <c r="BF45" s="290">
        <f t="shared" si="93"/>
        <v>42527059.253747016</v>
      </c>
      <c r="BG45" s="290">
        <f t="shared" si="93"/>
        <v>46252498.644161798</v>
      </c>
      <c r="BH45" s="290">
        <f t="shared" si="93"/>
        <v>54575229.782424405</v>
      </c>
      <c r="BI45" s="290">
        <f t="shared" si="93"/>
        <v>62627634.311200984</v>
      </c>
      <c r="BJ45" s="290">
        <f t="shared" si="93"/>
        <v>70440090.486330405</v>
      </c>
      <c r="BK45" s="290">
        <f t="shared" si="93"/>
        <v>78039637.440815777</v>
      </c>
      <c r="BL45" s="221">
        <f t="shared" si="93"/>
        <v>796722472.97429752</v>
      </c>
      <c r="BM45" s="193">
        <f t="shared" si="93"/>
        <v>796722472.97429752</v>
      </c>
      <c r="BN45" s="192">
        <f>($P$35*($B$28+$B$29))*(2^(((BN34 - 7) - $P$34)/BN59))</f>
        <v>262497271.9723306</v>
      </c>
      <c r="BO45" s="227">
        <f>BO35*(B28+B29)</f>
        <v>15870578.4</v>
      </c>
      <c r="BP45" s="45"/>
      <c r="BQ45" s="45"/>
      <c r="BR45" s="66"/>
    </row>
    <row r="46" spans="1:70" x14ac:dyDescent="0.25">
      <c r="A46" s="37" t="s">
        <v>157</v>
      </c>
      <c r="B46" s="38"/>
      <c r="C46" s="39"/>
      <c r="D46" s="39"/>
      <c r="E46" s="39"/>
      <c r="F46" s="39"/>
      <c r="G46" s="39"/>
      <c r="H46" s="39"/>
      <c r="I46" s="39"/>
      <c r="J46" s="39"/>
      <c r="K46" s="39"/>
      <c r="L46" s="39"/>
      <c r="M46" s="39"/>
      <c r="N46" s="39"/>
      <c r="O46" s="62"/>
      <c r="P46" s="190">
        <f t="shared" ref="P46:X46" si="94">P45</f>
        <v>2.8870253994390738</v>
      </c>
      <c r="Q46" s="191">
        <f t="shared" si="94"/>
        <v>4.6931877328275249</v>
      </c>
      <c r="R46" s="191">
        <f t="shared" si="94"/>
        <v>7.9471976804692028</v>
      </c>
      <c r="S46" s="191">
        <f t="shared" si="94"/>
        <v>18.968645416344785</v>
      </c>
      <c r="T46" s="191">
        <f t="shared" si="94"/>
        <v>29.467543857131108</v>
      </c>
      <c r="U46" s="191">
        <f t="shared" si="94"/>
        <v>56.748395631433958</v>
      </c>
      <c r="V46" s="191">
        <f t="shared" si="94"/>
        <v>123.46509239906847</v>
      </c>
      <c r="W46" s="191">
        <f t="shared" si="94"/>
        <v>227.38643858014458</v>
      </c>
      <c r="X46" s="191">
        <f t="shared" si="94"/>
        <v>539.69701610130301</v>
      </c>
      <c r="Y46" s="184">
        <f t="shared" ref="Y46:AG46" si="95">MAX(Y45-($P$35*$B$28)*(2^(((Y34 - 42) - $P$34)/HLOOKUP((Y34-42)-$B$31,$P$57:$BO$59,3,TRUE)))-Y48,0)</f>
        <v>1588.6805460666544</v>
      </c>
      <c r="Z46" s="184">
        <f t="shared" si="95"/>
        <v>4897.6535258136473</v>
      </c>
      <c r="AA46" s="184">
        <f t="shared" si="95"/>
        <v>8266.2297075609786</v>
      </c>
      <c r="AB46" s="184">
        <f t="shared" si="95"/>
        <v>18479.218827140961</v>
      </c>
      <c r="AC46" s="184">
        <f t="shared" si="95"/>
        <v>51916.922086590406</v>
      </c>
      <c r="AD46" s="184">
        <f t="shared" si="95"/>
        <v>129176.46800008466</v>
      </c>
      <c r="AE46" s="184">
        <f t="shared" si="95"/>
        <v>229002.4744801856</v>
      </c>
      <c r="AF46" s="184">
        <f t="shared" si="95"/>
        <v>494481.7332995428</v>
      </c>
      <c r="AG46" s="184">
        <f t="shared" si="95"/>
        <v>1582058.7721910735</v>
      </c>
      <c r="AH46" s="184">
        <f t="shared" ref="AH46:AK46" si="96">MAX(AH45-($P$35*$B$28)*(2^(((AH34 - 42) - $P$34)/HLOOKUP((AH34-42)-$B$31,$P$57:$BO$59,3,TRUE)))-AH48,0)</f>
        <v>0</v>
      </c>
      <c r="AI46" s="184">
        <f t="shared" si="96"/>
        <v>631020.22972472338</v>
      </c>
      <c r="AJ46" s="184">
        <f t="shared" si="96"/>
        <v>432429.13170711964</v>
      </c>
      <c r="AK46" s="184">
        <f t="shared" si="96"/>
        <v>0</v>
      </c>
      <c r="AL46" s="184">
        <f t="shared" ref="AL46:BN46" si="97">MAX(AL45-($P$35*$B$28)*(2^(((AL34 - 42) - $P$34)/HLOOKUP((AL34-42)-$B$31,$P$57:$BO$59,3,TRUE)))-AL48,0)</f>
        <v>1333854.5357557274</v>
      </c>
      <c r="AM46" s="184">
        <f t="shared" si="97"/>
        <v>37652669.400940955</v>
      </c>
      <c r="AN46" s="184">
        <f t="shared" si="97"/>
        <v>11582542.116490133</v>
      </c>
      <c r="AO46" s="184">
        <f t="shared" si="97"/>
        <v>11741829.045170188</v>
      </c>
      <c r="AP46" s="184">
        <f t="shared" si="97"/>
        <v>9547022.7710600328</v>
      </c>
      <c r="AQ46" s="184">
        <f t="shared" si="97"/>
        <v>8270813.2355944291</v>
      </c>
      <c r="AR46" s="184">
        <f t="shared" si="97"/>
        <v>7463418.8438805379</v>
      </c>
      <c r="AS46" s="184">
        <f t="shared" si="97"/>
        <v>7632403.7792255674</v>
      </c>
      <c r="AT46" s="184">
        <f t="shared" si="97"/>
        <v>7773107.1701529343</v>
      </c>
      <c r="AU46" s="184">
        <f t="shared" si="97"/>
        <v>7902665.4222301096</v>
      </c>
      <c r="AV46" s="184">
        <f t="shared" si="97"/>
        <v>8029040.1895084614</v>
      </c>
      <c r="AW46" s="184">
        <f t="shared" si="97"/>
        <v>8155964.3023642348</v>
      </c>
      <c r="AX46" s="184">
        <f t="shared" si="97"/>
        <v>9106814.6489594541</v>
      </c>
      <c r="AY46" s="184">
        <f t="shared" si="97"/>
        <v>9945646.3990380988</v>
      </c>
      <c r="AZ46" s="184">
        <f t="shared" si="97"/>
        <v>10699150.658828236</v>
      </c>
      <c r="BA46" s="184">
        <f t="shared" si="97"/>
        <v>11386582.508727331</v>
      </c>
      <c r="BB46" s="184">
        <f t="shared" si="97"/>
        <v>12022061.423563356</v>
      </c>
      <c r="BC46" s="184">
        <f t="shared" si="97"/>
        <v>13845639.089119902</v>
      </c>
      <c r="BD46" s="184">
        <f t="shared" si="97"/>
        <v>15530290.961195197</v>
      </c>
      <c r="BE46" s="184">
        <f t="shared" si="97"/>
        <v>17098366.550561622</v>
      </c>
      <c r="BF46" s="184">
        <f t="shared" si="97"/>
        <v>18568122.969333854</v>
      </c>
      <c r="BG46" s="184">
        <f t="shared" si="97"/>
        <v>19954463.368924387</v>
      </c>
      <c r="BH46" s="184">
        <f t="shared" si="97"/>
        <v>23319133.815726478</v>
      </c>
      <c r="BI46" s="184">
        <f t="shared" si="97"/>
        <v>26503132.432803117</v>
      </c>
      <c r="BJ46" s="184">
        <f t="shared" si="97"/>
        <v>29527497.417508036</v>
      </c>
      <c r="BK46" s="184">
        <f t="shared" si="97"/>
        <v>32410854.252769135</v>
      </c>
      <c r="BL46" s="224">
        <f t="shared" si="97"/>
        <v>327914612.03958118</v>
      </c>
      <c r="BM46" s="188">
        <f t="shared" si="97"/>
        <v>327914612.03958118</v>
      </c>
      <c r="BN46" s="187">
        <f t="shared" si="97"/>
        <v>0</v>
      </c>
      <c r="BO46" s="229"/>
      <c r="BP46" s="45"/>
      <c r="BQ46" s="45"/>
      <c r="BR46" s="66"/>
    </row>
    <row r="47" spans="1:70" x14ac:dyDescent="0.25">
      <c r="A47" s="61" t="s">
        <v>110</v>
      </c>
      <c r="B47" s="9"/>
      <c r="C47" s="9"/>
      <c r="D47" s="9"/>
      <c r="E47" s="9"/>
      <c r="F47" s="9"/>
      <c r="G47" s="9"/>
      <c r="H47" s="9"/>
      <c r="I47" s="9"/>
      <c r="J47" s="9"/>
      <c r="K47" s="9"/>
      <c r="L47" s="9"/>
      <c r="M47" s="9"/>
      <c r="N47" s="9"/>
      <c r="O47" s="5"/>
      <c r="P47" s="209">
        <f>(1*$B$29)*(2^(((P34 - 14) -$B$31)/$P$59))</f>
        <v>0.38480681703630393</v>
      </c>
      <c r="Q47" s="204">
        <f>(1*$B$29)*(2^(((Q34 - 14) -$B$31)/$P$59))</f>
        <v>0.62554719247502066</v>
      </c>
      <c r="R47" s="204">
        <f>(1*$B$29)*(2^(((R34 - 14) -$B$31)/$P$59))</f>
        <v>1.0168980191857229</v>
      </c>
      <c r="S47" s="195">
        <f t="shared" ref="S47:AG47" si="98">($P$35*$B$29)*(2^(((S34 - 14) - $P$34)/HLOOKUP((S34-14)-$B$31,$P$57:$BO$59,3,TRUE)))</f>
        <v>1.7219617111880618</v>
      </c>
      <c r="T47" s="195">
        <f t="shared" si="98"/>
        <v>3.2291666666666661</v>
      </c>
      <c r="U47" s="195">
        <f t="shared" si="98"/>
        <v>5.7717406572031598</v>
      </c>
      <c r="V47" s="195">
        <f t="shared" si="98"/>
        <v>8.8621419402739328</v>
      </c>
      <c r="W47" s="195">
        <f t="shared" si="98"/>
        <v>17.196571273860446</v>
      </c>
      <c r="X47" s="195">
        <f t="shared" si="98"/>
        <v>44.010332071279819</v>
      </c>
      <c r="Y47" s="195">
        <f t="shared" si="98"/>
        <v>165.92143795722515</v>
      </c>
      <c r="Z47" s="195">
        <f t="shared" si="98"/>
        <v>853.80466147771358</v>
      </c>
      <c r="AA47" s="195">
        <f t="shared" si="98"/>
        <v>2680.4877529501259</v>
      </c>
      <c r="AB47" s="195">
        <f t="shared" si="98"/>
        <v>5418.0589453962111</v>
      </c>
      <c r="AC47" s="195">
        <f t="shared" si="98"/>
        <v>8048.0229488690302</v>
      </c>
      <c r="AD47" s="195">
        <f t="shared" si="98"/>
        <v>21711.416367666945</v>
      </c>
      <c r="AE47" s="195">
        <f t="shared" si="98"/>
        <v>48509.957632993712</v>
      </c>
      <c r="AF47" s="195">
        <f t="shared" si="98"/>
        <v>93560.484304590718</v>
      </c>
      <c r="AG47" s="195">
        <f t="shared" si="98"/>
        <v>319749.33508169668</v>
      </c>
      <c r="AH47" s="195">
        <f t="shared" ref="AH47:AK47" si="99">($P$35*$B$29)*(2^(((AH34 - 14) - $P$34)/HLOOKUP((AH34-14)-$B$31,$P$57:$BO$59,3,TRUE)))</f>
        <v>634198.29333693732</v>
      </c>
      <c r="AI47" s="290">
        <f t="shared" si="99"/>
        <v>285561.31732742168</v>
      </c>
      <c r="AJ47" s="195">
        <f t="shared" si="99"/>
        <v>350835.95069856732</v>
      </c>
      <c r="AK47" s="195">
        <f t="shared" si="99"/>
        <v>477912.97694145935</v>
      </c>
      <c r="AL47" s="290">
        <f t="shared" ref="AL47:BN47" si="100">($P$35*$B$29)*(2^(((AL34 - 14) - $P$34)/HLOOKUP((AL34-14)-$B$31,$P$57:$BO$59,3,TRUE)))</f>
        <v>420987.76922458311</v>
      </c>
      <c r="AM47" s="195">
        <f t="shared" si="100"/>
        <v>9054042.0304193217</v>
      </c>
      <c r="AN47" s="290">
        <f t="shared" si="100"/>
        <v>3236886.4292055592</v>
      </c>
      <c r="AO47" s="290">
        <f t="shared" si="100"/>
        <v>3602066.9170684814</v>
      </c>
      <c r="AP47" s="290">
        <f t="shared" si="100"/>
        <v>3190390.7857517041</v>
      </c>
      <c r="AQ47" s="290">
        <f t="shared" si="100"/>
        <v>2968819.0232850085</v>
      </c>
      <c r="AR47" s="290">
        <f t="shared" si="100"/>
        <v>2847878.1111275768</v>
      </c>
      <c r="AS47" s="290">
        <f t="shared" si="100"/>
        <v>3060985.0524108219</v>
      </c>
      <c r="AT47" s="290">
        <f t="shared" si="100"/>
        <v>3258788.1841312414</v>
      </c>
      <c r="AU47" s="290">
        <f t="shared" si="100"/>
        <v>3447642.6834311392</v>
      </c>
      <c r="AV47" s="290">
        <f t="shared" si="100"/>
        <v>3631020.8933556261</v>
      </c>
      <c r="AW47" s="290">
        <f t="shared" si="100"/>
        <v>3810920.762256931</v>
      </c>
      <c r="AX47" s="290">
        <f t="shared" si="100"/>
        <v>4371564.6440696344</v>
      </c>
      <c r="AY47" s="290">
        <f t="shared" si="100"/>
        <v>4896622.839912639</v>
      </c>
      <c r="AZ47" s="290">
        <f t="shared" si="100"/>
        <v>5393911.051369437</v>
      </c>
      <c r="BA47" s="290">
        <f t="shared" si="100"/>
        <v>5869196.5370912086</v>
      </c>
      <c r="BB47" s="290">
        <f t="shared" si="100"/>
        <v>6326800.049610653</v>
      </c>
      <c r="BC47" s="290">
        <f t="shared" si="100"/>
        <v>7411292.5573959686</v>
      </c>
      <c r="BD47" s="290">
        <f t="shared" si="100"/>
        <v>8451175.0353860129</v>
      </c>
      <c r="BE47" s="290">
        <f t="shared" si="100"/>
        <v>9453151.5172890015</v>
      </c>
      <c r="BF47" s="290">
        <f t="shared" si="100"/>
        <v>10422771.481614955</v>
      </c>
      <c r="BG47" s="290">
        <f t="shared" si="100"/>
        <v>11364621.776366044</v>
      </c>
      <c r="BH47" s="290">
        <f t="shared" si="100"/>
        <v>13436431.380319078</v>
      </c>
      <c r="BI47" s="290">
        <f t="shared" si="100"/>
        <v>15449193.212832179</v>
      </c>
      <c r="BJ47" s="290">
        <f t="shared" si="100"/>
        <v>17409362.212352272</v>
      </c>
      <c r="BK47" s="195">
        <f t="shared" si="100"/>
        <v>19322709.935609844</v>
      </c>
      <c r="BL47" s="221">
        <f t="shared" si="100"/>
        <v>197612545.62854978</v>
      </c>
      <c r="BM47" s="193">
        <f t="shared" si="100"/>
        <v>197612545.62854978</v>
      </c>
      <c r="BN47" s="192">
        <f t="shared" si="100"/>
        <v>293207986.69590789</v>
      </c>
      <c r="BO47" s="227">
        <f>BO35*B29</f>
        <v>4176468</v>
      </c>
      <c r="BP47" s="45"/>
      <c r="BQ47" s="45"/>
      <c r="BR47" s="66"/>
    </row>
    <row r="48" spans="1:70" x14ac:dyDescent="0.25">
      <c r="A48" s="37" t="s">
        <v>158</v>
      </c>
      <c r="B48" s="38"/>
      <c r="C48" s="39"/>
      <c r="D48" s="39"/>
      <c r="E48" s="39"/>
      <c r="F48" s="39"/>
      <c r="G48" s="39"/>
      <c r="H48" s="39"/>
      <c r="I48" s="39"/>
      <c r="J48" s="39"/>
      <c r="K48" s="39"/>
      <c r="L48" s="39"/>
      <c r="M48" s="39"/>
      <c r="N48" s="39"/>
      <c r="O48" s="62"/>
      <c r="P48" s="190">
        <f t="shared" ref="P48:W48" si="101">P47</f>
        <v>0.38480681703630393</v>
      </c>
      <c r="Q48" s="191">
        <f t="shared" si="101"/>
        <v>0.62554719247502066</v>
      </c>
      <c r="R48" s="191">
        <f t="shared" si="101"/>
        <v>1.0168980191857229</v>
      </c>
      <c r="S48" s="191">
        <f t="shared" si="101"/>
        <v>1.7219617111880618</v>
      </c>
      <c r="T48" s="191">
        <f t="shared" si="101"/>
        <v>3.2291666666666661</v>
      </c>
      <c r="U48" s="191">
        <f t="shared" si="101"/>
        <v>5.7717406572031598</v>
      </c>
      <c r="V48" s="191">
        <f t="shared" si="101"/>
        <v>8.8621419402739328</v>
      </c>
      <c r="W48" s="191">
        <f t="shared" si="101"/>
        <v>17.196571273860446</v>
      </c>
      <c r="X48" s="189">
        <f t="shared" ref="X48:AG48" si="102">MAX(X47-($P$35*$B$29)*(2^(((X34 - 35) - $P$34)/HLOOKUP((X34-35)-$B$31,$P$57:$BO$59,3,TRUE))),0)</f>
        <v>42.288370360091754</v>
      </c>
      <c r="Y48" s="189">
        <f t="shared" si="102"/>
        <v>160.14969730002198</v>
      </c>
      <c r="Z48" s="189">
        <f t="shared" si="102"/>
        <v>821.313847688485</v>
      </c>
      <c r="AA48" s="189">
        <f t="shared" si="102"/>
        <v>2457.1023362834594</v>
      </c>
      <c r="AB48" s="189">
        <f t="shared" si="102"/>
        <v>4256.8857960445075</v>
      </c>
      <c r="AC48" s="189">
        <f t="shared" si="102"/>
        <v>5182.001910459524</v>
      </c>
      <c r="AD48" s="189">
        <f t="shared" si="102"/>
        <v>15211.728867666945</v>
      </c>
      <c r="AE48" s="189">
        <f t="shared" si="102"/>
        <v>26798.541265326767</v>
      </c>
      <c r="AF48" s="189">
        <f t="shared" si="102"/>
        <v>45050.526671597006</v>
      </c>
      <c r="AG48" s="189">
        <f t="shared" si="102"/>
        <v>145109.47308068068</v>
      </c>
      <c r="AH48" s="189">
        <f t="shared" ref="AH48:AK48" si="103">MAX(AH47-($P$35*$B$29)*(2^(((AH34 - 35) - $P$34)/HLOOKUP((AH34-35)-$B$31,$P$57:$BO$59,3,TRUE))),0)</f>
        <v>494187.45860461192</v>
      </c>
      <c r="AI48" s="189">
        <f t="shared" si="103"/>
        <v>18825.06859651854</v>
      </c>
      <c r="AJ48" s="189">
        <f t="shared" si="103"/>
        <v>0</v>
      </c>
      <c r="AK48" s="189">
        <f t="shared" si="103"/>
        <v>176508.27192375745</v>
      </c>
      <c r="AL48" s="189">
        <f t="shared" ref="AL48:BN48" si="104">MAX(AL47-($P$35*$B$29)*(2^(((AL34 - 35) - $P$34)/HLOOKUP((AL34-35)-$B$31,$P$57:$BO$59,3,TRUE))),0)</f>
        <v>73776.725473029539</v>
      </c>
      <c r="AM48" s="189">
        <f t="shared" si="104"/>
        <v>6025655.3985738494</v>
      </c>
      <c r="AN48" s="189">
        <f t="shared" si="104"/>
        <v>1857716.4099828294</v>
      </c>
      <c r="AO48" s="189">
        <f t="shared" si="104"/>
        <v>1858588.8928418502</v>
      </c>
      <c r="AP48" s="189">
        <f t="shared" si="104"/>
        <v>1478743.4497413433</v>
      </c>
      <c r="AQ48" s="189">
        <f t="shared" si="104"/>
        <v>1249184.4246824665</v>
      </c>
      <c r="AR48" s="189">
        <f t="shared" si="104"/>
        <v>1097438.084766625</v>
      </c>
      <c r="AS48" s="189">
        <f t="shared" si="104"/>
        <v>1093970.258701721</v>
      </c>
      <c r="AT48" s="189">
        <f t="shared" si="104"/>
        <v>1085805.8864416201</v>
      </c>
      <c r="AU48" s="189">
        <f t="shared" si="104"/>
        <v>1075932.697492369</v>
      </c>
      <c r="AV48" s="189">
        <f t="shared" si="104"/>
        <v>1065729.7155553559</v>
      </c>
      <c r="AW48" s="189">
        <f t="shared" si="104"/>
        <v>1055832.0780595159</v>
      </c>
      <c r="AX48" s="189">
        <f t="shared" si="104"/>
        <v>1153108.7742466144</v>
      </c>
      <c r="AY48" s="189">
        <f t="shared" si="104"/>
        <v>1231823.917775874</v>
      </c>
      <c r="AZ48" s="189">
        <f t="shared" si="104"/>
        <v>1296470.2684726315</v>
      </c>
      <c r="BA48" s="189">
        <f t="shared" si="104"/>
        <v>1350280.1954225367</v>
      </c>
      <c r="BB48" s="189">
        <f t="shared" si="104"/>
        <v>1395616.6349396892</v>
      </c>
      <c r="BC48" s="189">
        <f t="shared" si="104"/>
        <v>1578321.277510317</v>
      </c>
      <c r="BD48" s="189">
        <f t="shared" si="104"/>
        <v>1738113.8506870745</v>
      </c>
      <c r="BE48" s="189">
        <f t="shared" si="104"/>
        <v>1878738.3436075896</v>
      </c>
      <c r="BF48" s="189">
        <f t="shared" si="104"/>
        <v>2003246.3620405272</v>
      </c>
      <c r="BG48" s="189">
        <f t="shared" si="104"/>
        <v>2114123.232171258</v>
      </c>
      <c r="BH48" s="189">
        <f t="shared" si="104"/>
        <v>2433717.3556144424</v>
      </c>
      <c r="BI48" s="189">
        <f t="shared" si="104"/>
        <v>2723660.0415274631</v>
      </c>
      <c r="BJ48" s="189">
        <f t="shared" si="104"/>
        <v>2987460.9182021841</v>
      </c>
      <c r="BK48" s="189">
        <f t="shared" si="104"/>
        <v>3228220.7069020793</v>
      </c>
      <c r="BL48" s="224">
        <f t="shared" si="104"/>
        <v>32154595.82529819</v>
      </c>
      <c r="BM48" s="188">
        <f t="shared" si="104"/>
        <v>32154595.82529819</v>
      </c>
      <c r="BN48" s="187">
        <f t="shared" si="104"/>
        <v>42789638.596529782</v>
      </c>
      <c r="BO48" s="227"/>
      <c r="BP48" s="45"/>
      <c r="BQ48" s="45"/>
      <c r="BR48" s="66"/>
    </row>
    <row r="49" spans="1:70" x14ac:dyDescent="0.25">
      <c r="A49" s="41" t="s">
        <v>54</v>
      </c>
      <c r="B49" s="15"/>
      <c r="C49" s="16"/>
      <c r="D49" s="16"/>
      <c r="E49" s="16"/>
      <c r="F49" s="16"/>
      <c r="G49" s="16"/>
      <c r="H49" s="16"/>
      <c r="I49" s="16"/>
      <c r="J49" s="16"/>
      <c r="K49" s="16"/>
      <c r="L49" s="16"/>
      <c r="M49" s="16"/>
      <c r="N49" s="16"/>
      <c r="O49" s="16"/>
      <c r="P49" s="210">
        <f t="shared" ref="P49:BN49" si="105">P35*$B$30</f>
        <v>0.46875</v>
      </c>
      <c r="Q49" s="211">
        <f t="shared" si="105"/>
        <v>0.9375</v>
      </c>
      <c r="R49" s="211">
        <f t="shared" si="105"/>
        <v>1.875</v>
      </c>
      <c r="S49" s="211">
        <f t="shared" si="105"/>
        <v>3.75</v>
      </c>
      <c r="T49" s="211">
        <f t="shared" si="105"/>
        <v>7.5</v>
      </c>
      <c r="U49" s="211">
        <f t="shared" si="105"/>
        <v>15</v>
      </c>
      <c r="V49" s="211">
        <f t="shared" si="105"/>
        <v>30</v>
      </c>
      <c r="W49" s="211">
        <f t="shared" si="105"/>
        <v>60</v>
      </c>
      <c r="X49" s="211">
        <f t="shared" si="105"/>
        <v>120</v>
      </c>
      <c r="Y49" s="211">
        <f t="shared" si="105"/>
        <v>240</v>
      </c>
      <c r="Z49" s="211">
        <f t="shared" si="105"/>
        <v>480</v>
      </c>
      <c r="AA49" s="211">
        <f t="shared" si="105"/>
        <v>960</v>
      </c>
      <c r="AB49" s="211">
        <f t="shared" si="105"/>
        <v>1920</v>
      </c>
      <c r="AC49" s="211">
        <f t="shared" si="105"/>
        <v>3840</v>
      </c>
      <c r="AD49" s="211">
        <f t="shared" si="105"/>
        <v>7680</v>
      </c>
      <c r="AE49" s="211">
        <f t="shared" si="105"/>
        <v>15360</v>
      </c>
      <c r="AF49" s="211">
        <f t="shared" si="105"/>
        <v>30720</v>
      </c>
      <c r="AG49" s="211">
        <f t="shared" si="105"/>
        <v>61440</v>
      </c>
      <c r="AH49" s="211">
        <f t="shared" ref="AH49:AK49" si="106">AH35*$B$30</f>
        <v>73728</v>
      </c>
      <c r="AI49" s="211">
        <f t="shared" si="106"/>
        <v>86016</v>
      </c>
      <c r="AJ49" s="211">
        <f t="shared" si="106"/>
        <v>98304</v>
      </c>
      <c r="AK49" s="211">
        <f t="shared" si="106"/>
        <v>110592</v>
      </c>
      <c r="AL49" s="211">
        <f t="shared" si="105"/>
        <v>122880</v>
      </c>
      <c r="AM49" s="211">
        <f t="shared" ref="AM49:AP49" si="107">AM35*$B$30</f>
        <v>147456</v>
      </c>
      <c r="AN49" s="211">
        <f t="shared" si="107"/>
        <v>172032</v>
      </c>
      <c r="AO49" s="211">
        <f t="shared" si="107"/>
        <v>196608</v>
      </c>
      <c r="AP49" s="211">
        <f t="shared" si="107"/>
        <v>221184</v>
      </c>
      <c r="AQ49" s="211">
        <f t="shared" si="105"/>
        <v>245760</v>
      </c>
      <c r="AR49" s="211">
        <f t="shared" ref="AR49:AU49" si="108">AR35*$B$30</f>
        <v>294912</v>
      </c>
      <c r="AS49" s="211">
        <f t="shared" si="108"/>
        <v>344064</v>
      </c>
      <c r="AT49" s="211">
        <f t="shared" si="108"/>
        <v>393216</v>
      </c>
      <c r="AU49" s="211">
        <f t="shared" si="108"/>
        <v>442368</v>
      </c>
      <c r="AV49" s="211">
        <f t="shared" ref="AV49:BM49" si="109">AV35*$B$30</f>
        <v>491520</v>
      </c>
      <c r="AW49" s="211">
        <f t="shared" ref="AW49:AZ49" si="110">AW35*$B$30</f>
        <v>589824</v>
      </c>
      <c r="AX49" s="211">
        <f t="shared" si="110"/>
        <v>688128</v>
      </c>
      <c r="AY49" s="211">
        <f t="shared" si="110"/>
        <v>786432</v>
      </c>
      <c r="AZ49" s="211">
        <f t="shared" si="110"/>
        <v>884736</v>
      </c>
      <c r="BA49" s="211">
        <f t="shared" si="109"/>
        <v>983040</v>
      </c>
      <c r="BB49" s="211">
        <f t="shared" ref="BB49:BE49" si="111">BB35*$B$30</f>
        <v>1179648</v>
      </c>
      <c r="BC49" s="211">
        <f t="shared" si="111"/>
        <v>1376256</v>
      </c>
      <c r="BD49" s="211">
        <f t="shared" si="111"/>
        <v>1572864</v>
      </c>
      <c r="BE49" s="211">
        <f t="shared" si="111"/>
        <v>1769472</v>
      </c>
      <c r="BF49" s="211">
        <f t="shared" si="109"/>
        <v>1966080</v>
      </c>
      <c r="BG49" s="211">
        <f t="shared" ref="BG49:BJ49" si="112">BG35*$B$30</f>
        <v>2359296</v>
      </c>
      <c r="BH49" s="211">
        <f t="shared" si="112"/>
        <v>2752512</v>
      </c>
      <c r="BI49" s="211">
        <f t="shared" si="112"/>
        <v>3145728</v>
      </c>
      <c r="BJ49" s="211">
        <f t="shared" si="112"/>
        <v>3538944</v>
      </c>
      <c r="BK49" s="211">
        <f t="shared" si="109"/>
        <v>3932160</v>
      </c>
      <c r="BL49" s="223">
        <f t="shared" ref="BL49" si="113">BL35*$B$30</f>
        <v>7864320</v>
      </c>
      <c r="BM49" s="186">
        <f t="shared" si="109"/>
        <v>15728640</v>
      </c>
      <c r="BN49" s="192">
        <f t="shared" si="105"/>
        <v>20882340</v>
      </c>
      <c r="BO49" s="227">
        <f>BO35*B30</f>
        <v>1252940.3999999999</v>
      </c>
      <c r="BP49" s="45"/>
      <c r="BQ49" s="45"/>
      <c r="BR49" s="66"/>
    </row>
    <row r="50" spans="1:70" s="66" customFormat="1" hidden="1" x14ac:dyDescent="0.25">
      <c r="A50" s="48" t="s">
        <v>104</v>
      </c>
      <c r="B50" s="25"/>
      <c r="C50" s="47"/>
      <c r="D50" s="47"/>
      <c r="E50" s="47"/>
      <c r="F50" s="47"/>
      <c r="G50" s="47"/>
      <c r="H50" s="47"/>
      <c r="I50" s="47"/>
      <c r="J50" s="47"/>
      <c r="K50" s="47"/>
      <c r="L50" s="47"/>
      <c r="M50" s="47"/>
      <c r="N50" s="47"/>
      <c r="O50" s="47"/>
      <c r="P50" s="140">
        <f t="shared" ref="P50:AQ50" si="114">P34-7</f>
        <v>43888</v>
      </c>
      <c r="Q50" s="140">
        <f t="shared" si="114"/>
        <v>43893</v>
      </c>
      <c r="R50" s="140">
        <f t="shared" si="114"/>
        <v>43898</v>
      </c>
      <c r="S50" s="140">
        <f t="shared" si="114"/>
        <v>43903</v>
      </c>
      <c r="T50" s="140">
        <f t="shared" si="114"/>
        <v>43907</v>
      </c>
      <c r="U50" s="140">
        <f t="shared" si="114"/>
        <v>43911</v>
      </c>
      <c r="V50" s="140">
        <f t="shared" si="114"/>
        <v>43915</v>
      </c>
      <c r="W50" s="140">
        <f t="shared" si="114"/>
        <v>43919</v>
      </c>
      <c r="X50" s="140">
        <f t="shared" si="114"/>
        <v>43924</v>
      </c>
      <c r="Y50" s="140">
        <f t="shared" si="114"/>
        <v>43932</v>
      </c>
      <c r="Z50" s="140">
        <f t="shared" si="114"/>
        <v>43943</v>
      </c>
      <c r="AA50" s="140">
        <f t="shared" si="114"/>
        <v>43954</v>
      </c>
      <c r="AB50" s="140">
        <f t="shared" si="114"/>
        <v>43966</v>
      </c>
      <c r="AC50" s="140">
        <f t="shared" si="114"/>
        <v>43982</v>
      </c>
      <c r="AD50" s="140">
        <f t="shared" si="114"/>
        <v>44001</v>
      </c>
      <c r="AE50" s="140">
        <f t="shared" si="114"/>
        <v>44022</v>
      </c>
      <c r="AF50" s="140">
        <f t="shared" si="114"/>
        <v>44043</v>
      </c>
      <c r="AG50" s="140">
        <f t="shared" si="114"/>
        <v>44072</v>
      </c>
      <c r="AH50" s="140">
        <f t="shared" ref="AH50:AK50" si="115">AH34-7</f>
        <v>44081.52</v>
      </c>
      <c r="AI50" s="140">
        <f t="shared" si="115"/>
        <v>44090.48</v>
      </c>
      <c r="AJ50" s="140">
        <f t="shared" si="115"/>
        <v>44100.56</v>
      </c>
      <c r="AK50" s="140">
        <f t="shared" si="115"/>
        <v>44112.32</v>
      </c>
      <c r="AL50" s="140">
        <f t="shared" si="114"/>
        <v>44128</v>
      </c>
      <c r="AM50" s="140"/>
      <c r="AN50" s="140"/>
      <c r="AO50" s="140"/>
      <c r="AP50" s="140"/>
      <c r="AQ50" s="140">
        <f t="shared" si="114"/>
        <v>44458</v>
      </c>
      <c r="AR50" s="140"/>
      <c r="AS50" s="140"/>
      <c r="AT50" s="140"/>
      <c r="AU50" s="140"/>
      <c r="AV50" s="140"/>
      <c r="AW50" s="140"/>
      <c r="AX50" s="140"/>
      <c r="AY50" s="140"/>
      <c r="AZ50" s="140"/>
      <c r="BA50" s="140"/>
      <c r="BB50" s="140"/>
      <c r="BC50" s="140"/>
      <c r="BD50" s="140"/>
      <c r="BE50" s="140"/>
      <c r="BF50" s="140"/>
      <c r="BG50" s="140"/>
      <c r="BH50" s="140"/>
      <c r="BI50" s="140"/>
      <c r="BJ50" s="140"/>
      <c r="BK50" s="140"/>
      <c r="BL50" s="140"/>
      <c r="BM50" s="140"/>
      <c r="BN50" s="140">
        <f>BN34-7</f>
        <v>46438</v>
      </c>
      <c r="BO50" s="140"/>
      <c r="BP50" s="45"/>
      <c r="BQ50" s="45"/>
    </row>
    <row r="51" spans="1:70" s="66" customFormat="1" hidden="1" x14ac:dyDescent="0.25">
      <c r="A51" s="48" t="s">
        <v>102</v>
      </c>
      <c r="B51" s="25"/>
      <c r="C51" s="47"/>
      <c r="D51" s="47"/>
      <c r="E51" s="47"/>
      <c r="F51" s="47"/>
      <c r="G51" s="47"/>
      <c r="H51" s="47"/>
      <c r="I51" s="47"/>
      <c r="J51" s="47"/>
      <c r="K51" s="47"/>
      <c r="L51" s="47"/>
      <c r="M51" s="47"/>
      <c r="N51" s="47"/>
      <c r="O51" s="47"/>
      <c r="P51" s="140">
        <f t="shared" ref="P51:AQ51" si="116">P34-14</f>
        <v>43881</v>
      </c>
      <c r="Q51" s="140">
        <f t="shared" si="116"/>
        <v>43886</v>
      </c>
      <c r="R51" s="140">
        <f t="shared" si="116"/>
        <v>43891</v>
      </c>
      <c r="S51" s="140">
        <f t="shared" si="116"/>
        <v>43896</v>
      </c>
      <c r="T51" s="140">
        <f t="shared" si="116"/>
        <v>43900</v>
      </c>
      <c r="U51" s="140">
        <f t="shared" si="116"/>
        <v>43904</v>
      </c>
      <c r="V51" s="140">
        <f t="shared" si="116"/>
        <v>43908</v>
      </c>
      <c r="W51" s="140">
        <f t="shared" si="116"/>
        <v>43912</v>
      </c>
      <c r="X51" s="140">
        <f t="shared" si="116"/>
        <v>43917</v>
      </c>
      <c r="Y51" s="140">
        <f t="shared" si="116"/>
        <v>43925</v>
      </c>
      <c r="Z51" s="140">
        <f t="shared" si="116"/>
        <v>43936</v>
      </c>
      <c r="AA51" s="140">
        <f t="shared" si="116"/>
        <v>43947</v>
      </c>
      <c r="AB51" s="140">
        <f t="shared" si="116"/>
        <v>43959</v>
      </c>
      <c r="AC51" s="140">
        <f t="shared" si="116"/>
        <v>43975</v>
      </c>
      <c r="AD51" s="140">
        <f t="shared" si="116"/>
        <v>43994</v>
      </c>
      <c r="AE51" s="140">
        <f t="shared" si="116"/>
        <v>44015</v>
      </c>
      <c r="AF51" s="140">
        <f t="shared" si="116"/>
        <v>44036</v>
      </c>
      <c r="AG51" s="140">
        <f t="shared" si="116"/>
        <v>44065</v>
      </c>
      <c r="AH51" s="140">
        <f t="shared" ref="AH51:AK51" si="117">AH34-14</f>
        <v>44074.52</v>
      </c>
      <c r="AI51" s="140">
        <f t="shared" si="117"/>
        <v>44083.48</v>
      </c>
      <c r="AJ51" s="140">
        <f t="shared" si="117"/>
        <v>44093.56</v>
      </c>
      <c r="AK51" s="140">
        <f t="shared" si="117"/>
        <v>44105.32</v>
      </c>
      <c r="AL51" s="140">
        <f t="shared" si="116"/>
        <v>44121</v>
      </c>
      <c r="AM51" s="140"/>
      <c r="AN51" s="140"/>
      <c r="AO51" s="140"/>
      <c r="AP51" s="140"/>
      <c r="AQ51" s="140">
        <f t="shared" si="116"/>
        <v>44451</v>
      </c>
      <c r="AR51" s="140"/>
      <c r="AS51" s="140"/>
      <c r="AT51" s="140"/>
      <c r="AU51" s="140"/>
      <c r="AV51" s="140"/>
      <c r="AW51" s="140"/>
      <c r="AX51" s="140"/>
      <c r="AY51" s="140"/>
      <c r="AZ51" s="140"/>
      <c r="BA51" s="140"/>
      <c r="BB51" s="140"/>
      <c r="BC51" s="140"/>
      <c r="BD51" s="140"/>
      <c r="BE51" s="140"/>
      <c r="BF51" s="140"/>
      <c r="BG51" s="140"/>
      <c r="BH51" s="140"/>
      <c r="BI51" s="140"/>
      <c r="BJ51" s="140"/>
      <c r="BK51" s="140"/>
      <c r="BL51" s="140"/>
      <c r="BM51" s="140"/>
      <c r="BN51" s="140">
        <f>BN34-14</f>
        <v>46431</v>
      </c>
      <c r="BO51" s="140"/>
      <c r="BP51" s="45"/>
      <c r="BQ51" s="45"/>
    </row>
    <row r="52" spans="1:70" s="66" customFormat="1" hidden="1" x14ac:dyDescent="0.25">
      <c r="A52" s="48" t="s">
        <v>105</v>
      </c>
      <c r="B52" s="25"/>
      <c r="C52" s="47"/>
      <c r="D52" s="47"/>
      <c r="E52" s="47"/>
      <c r="F52" s="47"/>
      <c r="G52" s="47"/>
      <c r="H52" s="47"/>
      <c r="I52" s="47"/>
      <c r="J52" s="47"/>
      <c r="K52" s="47"/>
      <c r="L52" s="47"/>
      <c r="M52" s="47"/>
      <c r="N52" s="47"/>
      <c r="O52" s="47"/>
      <c r="P52" s="140">
        <f t="shared" ref="P52:AQ52" si="118">P34-(7*5)</f>
        <v>43860</v>
      </c>
      <c r="Q52" s="140">
        <f t="shared" si="118"/>
        <v>43865</v>
      </c>
      <c r="R52" s="140">
        <f t="shared" si="118"/>
        <v>43870</v>
      </c>
      <c r="S52" s="140">
        <f t="shared" si="118"/>
        <v>43875</v>
      </c>
      <c r="T52" s="140">
        <f t="shared" si="118"/>
        <v>43879</v>
      </c>
      <c r="U52" s="140">
        <f t="shared" si="118"/>
        <v>43883</v>
      </c>
      <c r="V52" s="140">
        <f t="shared" si="118"/>
        <v>43887</v>
      </c>
      <c r="W52" s="140">
        <f t="shared" si="118"/>
        <v>43891</v>
      </c>
      <c r="X52" s="140">
        <f t="shared" si="118"/>
        <v>43896</v>
      </c>
      <c r="Y52" s="140">
        <f t="shared" si="118"/>
        <v>43904</v>
      </c>
      <c r="Z52" s="140">
        <f t="shared" si="118"/>
        <v>43915</v>
      </c>
      <c r="AA52" s="140">
        <f t="shared" si="118"/>
        <v>43926</v>
      </c>
      <c r="AB52" s="140">
        <f t="shared" si="118"/>
        <v>43938</v>
      </c>
      <c r="AC52" s="140">
        <f t="shared" si="118"/>
        <v>43954</v>
      </c>
      <c r="AD52" s="140">
        <f t="shared" si="118"/>
        <v>43973</v>
      </c>
      <c r="AE52" s="140">
        <f t="shared" si="118"/>
        <v>43994</v>
      </c>
      <c r="AF52" s="140">
        <f t="shared" si="118"/>
        <v>44015</v>
      </c>
      <c r="AG52" s="140">
        <f t="shared" si="118"/>
        <v>44044</v>
      </c>
      <c r="AH52" s="140">
        <f t="shared" ref="AH52:AK52" si="119">AH34-(7*5)</f>
        <v>44053.52</v>
      </c>
      <c r="AI52" s="140">
        <f t="shared" si="119"/>
        <v>44062.48</v>
      </c>
      <c r="AJ52" s="140">
        <f t="shared" si="119"/>
        <v>44072.56</v>
      </c>
      <c r="AK52" s="140">
        <f t="shared" si="119"/>
        <v>44084.32</v>
      </c>
      <c r="AL52" s="140">
        <f t="shared" si="118"/>
        <v>44100</v>
      </c>
      <c r="AM52" s="140"/>
      <c r="AN52" s="140"/>
      <c r="AO52" s="140"/>
      <c r="AP52" s="140"/>
      <c r="AQ52" s="140">
        <f t="shared" si="118"/>
        <v>44430</v>
      </c>
      <c r="AR52" s="140"/>
      <c r="AS52" s="140"/>
      <c r="AT52" s="140"/>
      <c r="AU52" s="140"/>
      <c r="AV52" s="140"/>
      <c r="AW52" s="140"/>
      <c r="AX52" s="140"/>
      <c r="AY52" s="140"/>
      <c r="AZ52" s="140"/>
      <c r="BA52" s="140"/>
      <c r="BB52" s="140"/>
      <c r="BC52" s="140"/>
      <c r="BD52" s="140"/>
      <c r="BE52" s="140"/>
      <c r="BF52" s="140"/>
      <c r="BG52" s="140"/>
      <c r="BH52" s="140"/>
      <c r="BI52" s="140"/>
      <c r="BJ52" s="140"/>
      <c r="BK52" s="140"/>
      <c r="BL52" s="140"/>
      <c r="BM52" s="140"/>
      <c r="BN52" s="140">
        <f>BN34-(7*5)</f>
        <v>46410</v>
      </c>
      <c r="BO52" s="140"/>
      <c r="BP52" s="45"/>
      <c r="BQ52" s="45"/>
    </row>
    <row r="53" spans="1:70" s="66" customFormat="1" hidden="1" x14ac:dyDescent="0.25">
      <c r="A53" s="48" t="s">
        <v>103</v>
      </c>
      <c r="B53" s="25"/>
      <c r="C53" s="47"/>
      <c r="D53" s="47"/>
      <c r="E53" s="47"/>
      <c r="F53" s="47"/>
      <c r="G53" s="47"/>
      <c r="H53" s="47"/>
      <c r="I53" s="47"/>
      <c r="J53" s="47"/>
      <c r="K53" s="47"/>
      <c r="L53" s="47"/>
      <c r="M53" s="47"/>
      <c r="N53" s="47"/>
      <c r="O53" s="47"/>
      <c r="P53" s="140">
        <f t="shared" ref="P53:AQ53" si="120">P34-(6*7)</f>
        <v>43853</v>
      </c>
      <c r="Q53" s="140">
        <f t="shared" si="120"/>
        <v>43858</v>
      </c>
      <c r="R53" s="140">
        <f t="shared" si="120"/>
        <v>43863</v>
      </c>
      <c r="S53" s="140">
        <f t="shared" si="120"/>
        <v>43868</v>
      </c>
      <c r="T53" s="140">
        <f t="shared" si="120"/>
        <v>43872</v>
      </c>
      <c r="U53" s="140">
        <f t="shared" si="120"/>
        <v>43876</v>
      </c>
      <c r="V53" s="140">
        <f t="shared" si="120"/>
        <v>43880</v>
      </c>
      <c r="W53" s="140">
        <f t="shared" si="120"/>
        <v>43884</v>
      </c>
      <c r="X53" s="140">
        <f t="shared" si="120"/>
        <v>43889</v>
      </c>
      <c r="Y53" s="140">
        <f t="shared" si="120"/>
        <v>43897</v>
      </c>
      <c r="Z53" s="140">
        <f t="shared" si="120"/>
        <v>43908</v>
      </c>
      <c r="AA53" s="140">
        <f t="shared" si="120"/>
        <v>43919</v>
      </c>
      <c r="AB53" s="140">
        <f t="shared" si="120"/>
        <v>43931</v>
      </c>
      <c r="AC53" s="140">
        <f t="shared" si="120"/>
        <v>43947</v>
      </c>
      <c r="AD53" s="140">
        <f t="shared" si="120"/>
        <v>43966</v>
      </c>
      <c r="AE53" s="140">
        <f t="shared" si="120"/>
        <v>43987</v>
      </c>
      <c r="AF53" s="140">
        <f t="shared" si="120"/>
        <v>44008</v>
      </c>
      <c r="AG53" s="140">
        <f t="shared" si="120"/>
        <v>44037</v>
      </c>
      <c r="AH53" s="140">
        <f t="shared" ref="AH53:AK53" si="121">AH34-(6*7)</f>
        <v>44046.52</v>
      </c>
      <c r="AI53" s="140">
        <f t="shared" si="121"/>
        <v>44055.48</v>
      </c>
      <c r="AJ53" s="140">
        <f t="shared" si="121"/>
        <v>44065.56</v>
      </c>
      <c r="AK53" s="140">
        <f t="shared" si="121"/>
        <v>44077.32</v>
      </c>
      <c r="AL53" s="140">
        <f t="shared" si="120"/>
        <v>44093</v>
      </c>
      <c r="AM53" s="140"/>
      <c r="AN53" s="140"/>
      <c r="AO53" s="140"/>
      <c r="AP53" s="140"/>
      <c r="AQ53" s="140">
        <f t="shared" si="120"/>
        <v>44423</v>
      </c>
      <c r="AR53" s="140"/>
      <c r="AS53" s="140"/>
      <c r="AT53" s="140"/>
      <c r="AU53" s="140"/>
      <c r="AV53" s="140"/>
      <c r="AW53" s="140"/>
      <c r="AX53" s="140"/>
      <c r="AY53" s="140"/>
      <c r="AZ53" s="140"/>
      <c r="BA53" s="140"/>
      <c r="BB53" s="140"/>
      <c r="BC53" s="140"/>
      <c r="BD53" s="140"/>
      <c r="BE53" s="140"/>
      <c r="BF53" s="140"/>
      <c r="BG53" s="140"/>
      <c r="BH53" s="140"/>
      <c r="BI53" s="140"/>
      <c r="BJ53" s="140"/>
      <c r="BK53" s="140"/>
      <c r="BL53" s="140"/>
      <c r="BM53" s="140"/>
      <c r="BN53" s="140">
        <f>BN34-(6*7)</f>
        <v>46403</v>
      </c>
      <c r="BO53" s="140"/>
      <c r="BP53" s="45"/>
      <c r="BQ53" s="45"/>
    </row>
    <row r="55" spans="1:70" x14ac:dyDescent="0.25">
      <c r="A55" s="52" t="s">
        <v>47</v>
      </c>
      <c r="B55" s="15"/>
      <c r="C55" s="16"/>
      <c r="D55" s="16"/>
      <c r="E55" s="16"/>
      <c r="F55" s="16"/>
      <c r="G55" s="16"/>
      <c r="H55" s="16"/>
      <c r="I55" s="16"/>
      <c r="J55" s="16"/>
      <c r="K55" s="16"/>
      <c r="L55" s="16"/>
      <c r="M55" s="16"/>
      <c r="N55" s="16"/>
      <c r="O55" s="16"/>
    </row>
    <row r="56" spans="1:70" s="66" customFormat="1" x14ac:dyDescent="0.25">
      <c r="A56" s="137" t="s">
        <v>100</v>
      </c>
      <c r="B56" s="25"/>
      <c r="C56" s="47"/>
      <c r="D56" s="47"/>
      <c r="E56" s="47"/>
      <c r="F56" s="47"/>
      <c r="G56" s="47"/>
      <c r="H56" s="47"/>
      <c r="I56" s="47"/>
      <c r="J56" s="47"/>
      <c r="K56" s="47"/>
      <c r="L56" s="47"/>
      <c r="M56" s="47"/>
      <c r="N56" s="47"/>
      <c r="O56" s="47"/>
      <c r="P56" s="248">
        <f t="shared" ref="P56:BO56" si="122">(P34-$B$31)/7</f>
        <v>5</v>
      </c>
      <c r="Q56" s="248">
        <f t="shared" si="122"/>
        <v>5.7142857142857144</v>
      </c>
      <c r="R56" s="249">
        <f t="shared" si="122"/>
        <v>6.4285714285714288</v>
      </c>
      <c r="S56" s="248">
        <f t="shared" si="122"/>
        <v>7.1428571428571432</v>
      </c>
      <c r="T56" s="248">
        <f t="shared" si="122"/>
        <v>7.7142857142857144</v>
      </c>
      <c r="U56" s="249">
        <f t="shared" si="122"/>
        <v>8.2857142857142865</v>
      </c>
      <c r="V56" s="250">
        <f t="shared" si="122"/>
        <v>8.8571428571428577</v>
      </c>
      <c r="W56" s="250">
        <f t="shared" si="122"/>
        <v>9.4285714285714288</v>
      </c>
      <c r="X56" s="248">
        <f t="shared" si="122"/>
        <v>10.142857142857142</v>
      </c>
      <c r="Y56" s="251">
        <f t="shared" si="122"/>
        <v>11.285714285714286</v>
      </c>
      <c r="Z56" s="274">
        <f t="shared" si="122"/>
        <v>12.857142857142858</v>
      </c>
      <c r="AA56" s="250">
        <f t="shared" si="122"/>
        <v>14.428571428571429</v>
      </c>
      <c r="AB56" s="248">
        <f t="shared" si="122"/>
        <v>16.142857142857142</v>
      </c>
      <c r="AC56" s="274">
        <f t="shared" si="122"/>
        <v>18.428571428571427</v>
      </c>
      <c r="AD56" s="249">
        <f t="shared" si="122"/>
        <v>21.142857142857142</v>
      </c>
      <c r="AE56" s="249">
        <f t="shared" si="122"/>
        <v>24.142857142857142</v>
      </c>
      <c r="AF56" s="248">
        <f t="shared" si="122"/>
        <v>27.142857142857142</v>
      </c>
      <c r="AG56" s="248">
        <f t="shared" si="122"/>
        <v>31.285714285714285</v>
      </c>
      <c r="AH56" s="248">
        <f t="shared" ref="AH56:AK56" si="123">(AH34-$B$31)/7</f>
        <v>32.645714285713829</v>
      </c>
      <c r="AI56" s="248">
        <f t="shared" si="123"/>
        <v>33.92571428571474</v>
      </c>
      <c r="AJ56" s="248">
        <f t="shared" si="123"/>
        <v>35.365714285713956</v>
      </c>
      <c r="AK56" s="248">
        <f t="shared" si="123"/>
        <v>37.045714285714247</v>
      </c>
      <c r="AL56" s="249">
        <f t="shared" si="122"/>
        <v>39.285714285714285</v>
      </c>
      <c r="AM56" s="250">
        <f t="shared" ref="AM56:AP56" si="124">(AM34-$B$31)/7</f>
        <v>49.657142857142652</v>
      </c>
      <c r="AN56" s="250">
        <f t="shared" si="124"/>
        <v>58.142857142857146</v>
      </c>
      <c r="AO56" s="250">
        <f t="shared" si="124"/>
        <v>67.571428571428569</v>
      </c>
      <c r="AP56" s="250">
        <f t="shared" si="124"/>
        <v>77</v>
      </c>
      <c r="AQ56" s="250">
        <f t="shared" si="122"/>
        <v>86.428571428571431</v>
      </c>
      <c r="AR56" s="250">
        <f t="shared" ref="AR56:AU56" si="125">(AR34-$B$31)/7</f>
        <v>95.857142857142861</v>
      </c>
      <c r="AS56" s="250">
        <f t="shared" si="125"/>
        <v>105.28571428571429</v>
      </c>
      <c r="AT56" s="250">
        <f t="shared" si="125"/>
        <v>114.71428571428571</v>
      </c>
      <c r="AU56" s="250">
        <f t="shared" si="125"/>
        <v>124.14285714285714</v>
      </c>
      <c r="AV56" s="274">
        <f t="shared" si="122"/>
        <v>133.57142857142858</v>
      </c>
      <c r="AW56" s="274">
        <f t="shared" ref="AW56:AZ56" si="126">(AW34-$B$31)/7</f>
        <v>143</v>
      </c>
      <c r="AX56" s="274">
        <f t="shared" si="126"/>
        <v>152.42857142857142</v>
      </c>
      <c r="AY56" s="274">
        <f t="shared" si="126"/>
        <v>161.85714285714286</v>
      </c>
      <c r="AZ56" s="274">
        <f t="shared" si="126"/>
        <v>171.28571428571428</v>
      </c>
      <c r="BA56" s="249">
        <f t="shared" si="122"/>
        <v>180.71428571428572</v>
      </c>
      <c r="BB56" s="249">
        <f t="shared" ref="BB56:BE56" si="127">(BB34-$B$31)/7</f>
        <v>190.14285714285714</v>
      </c>
      <c r="BC56" s="249">
        <f t="shared" si="127"/>
        <v>199.57142857142858</v>
      </c>
      <c r="BD56" s="249">
        <f t="shared" si="127"/>
        <v>209</v>
      </c>
      <c r="BE56" s="249">
        <f t="shared" si="127"/>
        <v>218.42857142857142</v>
      </c>
      <c r="BF56" s="138">
        <f t="shared" si="122"/>
        <v>227.85714285714286</v>
      </c>
      <c r="BG56" s="138">
        <f t="shared" ref="BG56:BJ56" si="128">(BG34-$B$31)/7</f>
        <v>237.28571428571428</v>
      </c>
      <c r="BH56" s="138">
        <f t="shared" si="128"/>
        <v>246.71428571428572</v>
      </c>
      <c r="BI56" s="138">
        <f t="shared" si="128"/>
        <v>256.14285714285717</v>
      </c>
      <c r="BJ56" s="138">
        <f t="shared" si="128"/>
        <v>265.57142857142856</v>
      </c>
      <c r="BK56" s="135">
        <f t="shared" si="122"/>
        <v>275</v>
      </c>
      <c r="BL56" s="135">
        <f t="shared" si="122"/>
        <v>322.14285714285717</v>
      </c>
      <c r="BM56" s="138">
        <f t="shared" si="122"/>
        <v>322.14285714285717</v>
      </c>
      <c r="BN56" s="136">
        <f t="shared" si="122"/>
        <v>369.28571428571428</v>
      </c>
      <c r="BO56" s="136">
        <f t="shared" si="122"/>
        <v>377.28571428571428</v>
      </c>
    </row>
    <row r="57" spans="1:70" s="66" customFormat="1" x14ac:dyDescent="0.25">
      <c r="A57" s="137" t="s">
        <v>99</v>
      </c>
      <c r="B57" s="25"/>
      <c r="C57" s="47"/>
      <c r="D57" s="47"/>
      <c r="E57" s="47"/>
      <c r="F57" s="47"/>
      <c r="G57" s="47"/>
      <c r="H57" s="47"/>
      <c r="I57" s="47"/>
      <c r="J57" s="47"/>
      <c r="K57" s="47"/>
      <c r="L57" s="47"/>
      <c r="M57" s="47"/>
      <c r="N57" s="47"/>
      <c r="O57" s="47"/>
      <c r="P57" s="256">
        <f t="shared" ref="P57:BO57" si="129">P34-$B$31</f>
        <v>35</v>
      </c>
      <c r="Q57" s="217">
        <f t="shared" si="129"/>
        <v>40</v>
      </c>
      <c r="R57" s="217">
        <f t="shared" si="129"/>
        <v>45</v>
      </c>
      <c r="S57" s="217">
        <f t="shared" si="129"/>
        <v>50</v>
      </c>
      <c r="T57" s="217">
        <f t="shared" si="129"/>
        <v>54</v>
      </c>
      <c r="U57" s="217">
        <f t="shared" si="129"/>
        <v>58</v>
      </c>
      <c r="V57" s="217">
        <f t="shared" si="129"/>
        <v>62</v>
      </c>
      <c r="W57" s="217">
        <f t="shared" si="129"/>
        <v>66</v>
      </c>
      <c r="X57" s="217">
        <f t="shared" si="129"/>
        <v>71</v>
      </c>
      <c r="Y57" s="217">
        <f t="shared" si="129"/>
        <v>79</v>
      </c>
      <c r="Z57" s="217">
        <f t="shared" si="129"/>
        <v>90</v>
      </c>
      <c r="AA57" s="217">
        <f t="shared" si="129"/>
        <v>101</v>
      </c>
      <c r="AB57" s="217">
        <f t="shared" si="129"/>
        <v>113</v>
      </c>
      <c r="AC57" s="217">
        <f t="shared" si="129"/>
        <v>129</v>
      </c>
      <c r="AD57" s="217">
        <f t="shared" si="129"/>
        <v>148</v>
      </c>
      <c r="AE57" s="217">
        <f t="shared" si="129"/>
        <v>169</v>
      </c>
      <c r="AF57" s="217">
        <f t="shared" si="129"/>
        <v>190</v>
      </c>
      <c r="AG57" s="217">
        <f t="shared" si="129"/>
        <v>219</v>
      </c>
      <c r="AH57" s="217">
        <f t="shared" ref="AH57:AK57" si="130">AH34-$B$31</f>
        <v>228.5199999999968</v>
      </c>
      <c r="AI57" s="217">
        <f t="shared" si="130"/>
        <v>237.4800000000032</v>
      </c>
      <c r="AJ57" s="217">
        <f t="shared" si="130"/>
        <v>247.55999999999767</v>
      </c>
      <c r="AK57" s="217">
        <f t="shared" si="130"/>
        <v>259.31999999999971</v>
      </c>
      <c r="AL57" s="217">
        <f t="shared" si="129"/>
        <v>275</v>
      </c>
      <c r="AM57" s="217">
        <f t="shared" ref="AM57:AP57" si="131">AM34-$B$31</f>
        <v>347.59999999999854</v>
      </c>
      <c r="AN57" s="217">
        <f t="shared" si="131"/>
        <v>407</v>
      </c>
      <c r="AO57" s="217">
        <f t="shared" si="131"/>
        <v>473</v>
      </c>
      <c r="AP57" s="217">
        <f t="shared" si="131"/>
        <v>539</v>
      </c>
      <c r="AQ57" s="217">
        <f t="shared" si="129"/>
        <v>605</v>
      </c>
      <c r="AR57" s="217">
        <f t="shared" ref="AR57:AU57" si="132">AR34-$B$31</f>
        <v>671</v>
      </c>
      <c r="AS57" s="217">
        <f t="shared" si="132"/>
        <v>737</v>
      </c>
      <c r="AT57" s="217">
        <f t="shared" si="132"/>
        <v>803</v>
      </c>
      <c r="AU57" s="217">
        <f t="shared" si="132"/>
        <v>869</v>
      </c>
      <c r="AV57" s="217">
        <f t="shared" si="129"/>
        <v>935</v>
      </c>
      <c r="AW57" s="217">
        <f t="shared" ref="AW57:AZ57" si="133">AW34-$B$31</f>
        <v>1001</v>
      </c>
      <c r="AX57" s="217">
        <f t="shared" si="133"/>
        <v>1067</v>
      </c>
      <c r="AY57" s="217">
        <f t="shared" si="133"/>
        <v>1133</v>
      </c>
      <c r="AZ57" s="217">
        <f t="shared" si="133"/>
        <v>1199</v>
      </c>
      <c r="BA57" s="218">
        <f t="shared" si="129"/>
        <v>1265</v>
      </c>
      <c r="BB57" s="218">
        <f t="shared" ref="BB57:BE57" si="134">BB34-$B$31</f>
        <v>1331</v>
      </c>
      <c r="BC57" s="218">
        <f t="shared" si="134"/>
        <v>1397</v>
      </c>
      <c r="BD57" s="218">
        <f t="shared" si="134"/>
        <v>1463</v>
      </c>
      <c r="BE57" s="218">
        <f t="shared" si="134"/>
        <v>1529</v>
      </c>
      <c r="BF57" s="218">
        <f t="shared" si="129"/>
        <v>1595</v>
      </c>
      <c r="BG57" s="218">
        <f t="shared" ref="BG57:BJ57" si="135">BG34-$B$31</f>
        <v>1661</v>
      </c>
      <c r="BH57" s="218">
        <f t="shared" si="135"/>
        <v>1727</v>
      </c>
      <c r="BI57" s="218">
        <f t="shared" si="135"/>
        <v>1793</v>
      </c>
      <c r="BJ57" s="218">
        <f t="shared" si="135"/>
        <v>1859</v>
      </c>
      <c r="BK57" s="218">
        <f t="shared" si="129"/>
        <v>1925</v>
      </c>
      <c r="BL57" s="177">
        <f t="shared" si="129"/>
        <v>2255</v>
      </c>
      <c r="BM57" s="247">
        <f t="shared" si="129"/>
        <v>2255</v>
      </c>
      <c r="BN57" s="247">
        <f t="shared" si="129"/>
        <v>2585</v>
      </c>
      <c r="BO57" s="177">
        <f t="shared" si="129"/>
        <v>2641</v>
      </c>
    </row>
    <row r="58" spans="1:70" x14ac:dyDescent="0.25">
      <c r="A58" s="205" t="s">
        <v>42</v>
      </c>
      <c r="B58" s="16"/>
      <c r="C58" s="16"/>
      <c r="D58" s="16"/>
      <c r="E58" s="16"/>
      <c r="F58" s="16"/>
      <c r="G58" s="16"/>
      <c r="H58" s="16"/>
      <c r="I58" s="16"/>
      <c r="J58" s="16"/>
      <c r="K58" s="16"/>
      <c r="L58" s="16"/>
      <c r="M58" s="16"/>
      <c r="N58" s="16"/>
      <c r="O58" s="16"/>
      <c r="P58" s="252">
        <v>30</v>
      </c>
      <c r="Q58" s="253">
        <v>62</v>
      </c>
      <c r="R58" s="254">
        <v>114</v>
      </c>
      <c r="S58" s="254">
        <v>249</v>
      </c>
      <c r="T58" s="254">
        <v>536</v>
      </c>
      <c r="U58" s="254">
        <v>987</v>
      </c>
      <c r="V58" s="254">
        <v>1998</v>
      </c>
      <c r="W58" s="254">
        <v>4289</v>
      </c>
      <c r="X58" s="254">
        <v>7600</v>
      </c>
      <c r="Y58" s="254">
        <v>16365</v>
      </c>
      <c r="Z58" s="254">
        <v>33062</v>
      </c>
      <c r="AA58" s="254">
        <v>67161</v>
      </c>
      <c r="AB58" s="254">
        <v>124794</v>
      </c>
      <c r="AC58" s="254">
        <v>257486</v>
      </c>
      <c r="AD58" s="254">
        <v>509446</v>
      </c>
      <c r="AE58" s="254">
        <v>1040457</v>
      </c>
      <c r="AF58" s="254">
        <v>2086864</v>
      </c>
      <c r="AG58" s="254">
        <v>4110839</v>
      </c>
      <c r="AH58" s="254">
        <v>4926914</v>
      </c>
      <c r="AI58" s="254">
        <v>5730184</v>
      </c>
      <c r="AJ58" s="254">
        <v>6547413</v>
      </c>
      <c r="AK58" s="254">
        <v>7365509</v>
      </c>
      <c r="AL58" s="254">
        <v>8182881</v>
      </c>
      <c r="AM58" s="254">
        <v>9827026</v>
      </c>
      <c r="AN58" s="255">
        <f t="shared" ref="AN58:AP58" si="136">AN35</f>
        <v>11468800</v>
      </c>
      <c r="AO58" s="255">
        <f t="shared" si="136"/>
        <v>13107200</v>
      </c>
      <c r="AP58" s="255">
        <f t="shared" si="136"/>
        <v>14745600</v>
      </c>
      <c r="AQ58" s="255">
        <f>AQ35</f>
        <v>16384000</v>
      </c>
      <c r="AR58" s="255">
        <f t="shared" ref="AR58:AU58" si="137">AR35</f>
        <v>19660800</v>
      </c>
      <c r="AS58" s="255">
        <f t="shared" si="137"/>
        <v>22937600</v>
      </c>
      <c r="AT58" s="255">
        <f t="shared" si="137"/>
        <v>26214400</v>
      </c>
      <c r="AU58" s="255">
        <f t="shared" si="137"/>
        <v>29491200</v>
      </c>
      <c r="AV58" s="255">
        <f>AV35</f>
        <v>32768000</v>
      </c>
      <c r="AW58" s="255">
        <f t="shared" ref="AW58:AZ58" si="138">AW35</f>
        <v>39321600</v>
      </c>
      <c r="AX58" s="255">
        <f t="shared" si="138"/>
        <v>45875200</v>
      </c>
      <c r="AY58" s="255">
        <f t="shared" si="138"/>
        <v>52428800</v>
      </c>
      <c r="AZ58" s="255">
        <f t="shared" si="138"/>
        <v>58982400</v>
      </c>
      <c r="BA58" s="255">
        <f>BA35</f>
        <v>65536000</v>
      </c>
      <c r="BB58" s="255">
        <f t="shared" ref="BB58:BE58" si="139">BB35</f>
        <v>78643200</v>
      </c>
      <c r="BC58" s="255">
        <f t="shared" si="139"/>
        <v>91750400</v>
      </c>
      <c r="BD58" s="255">
        <f t="shared" si="139"/>
        <v>104857600</v>
      </c>
      <c r="BE58" s="255">
        <f t="shared" si="139"/>
        <v>117964800</v>
      </c>
      <c r="BF58" s="255">
        <f t="shared" ref="BF58" si="140">BA58*2</f>
        <v>131072000</v>
      </c>
      <c r="BG58" s="255">
        <f t="shared" ref="BG58" si="141">BB58*2</f>
        <v>157286400</v>
      </c>
      <c r="BH58" s="255">
        <f t="shared" ref="BH58" si="142">BC58*2</f>
        <v>183500800</v>
      </c>
      <c r="BI58" s="255">
        <f t="shared" ref="BI58" si="143">BD58*2</f>
        <v>209715200</v>
      </c>
      <c r="BJ58" s="255">
        <f t="shared" ref="BJ58" si="144">BE58*2</f>
        <v>235929600</v>
      </c>
      <c r="BK58" s="255">
        <f>BF58*2</f>
        <v>262144000</v>
      </c>
      <c r="BL58" s="173">
        <f t="shared" ref="BL58" si="145">BK58*2</f>
        <v>524288000</v>
      </c>
      <c r="BM58" s="173">
        <f t="shared" ref="BM58" si="146">BK58*2</f>
        <v>524288000</v>
      </c>
      <c r="BN58" s="173">
        <f>BN35</f>
        <v>1392156000</v>
      </c>
      <c r="BO58" s="174">
        <f>BN58</f>
        <v>1392156000</v>
      </c>
    </row>
    <row r="59" spans="1:70" x14ac:dyDescent="0.25">
      <c r="A59" s="41" t="s">
        <v>155</v>
      </c>
      <c r="B59" s="16"/>
      <c r="C59" s="16"/>
      <c r="D59" s="16"/>
      <c r="E59" s="16"/>
      <c r="F59" s="16"/>
      <c r="G59" s="16"/>
      <c r="H59" s="16"/>
      <c r="I59" s="16"/>
      <c r="J59" s="16"/>
      <c r="K59" s="16"/>
      <c r="L59" s="16"/>
      <c r="M59" s="16"/>
      <c r="N59" s="16"/>
      <c r="O59" s="16"/>
      <c r="P59" s="180">
        <f>(P34-B31)/(LOG(P58/1)/LOG(2))</f>
        <v>7.1328266481677165</v>
      </c>
      <c r="Q59" s="163">
        <f t="shared" ref="Q59:BO59" si="147">(Q34-$P$34)/(LOG(Q58/$P$58)/LOG(2))</f>
        <v>4.7741551768942267</v>
      </c>
      <c r="R59" s="163">
        <f t="shared" si="147"/>
        <v>5.1921095633020746</v>
      </c>
      <c r="S59" s="163">
        <f t="shared" si="147"/>
        <v>4.9130209635244562</v>
      </c>
      <c r="T59" s="163">
        <f t="shared" si="147"/>
        <v>4.5681877329756686</v>
      </c>
      <c r="U59" s="163">
        <f t="shared" si="147"/>
        <v>4.5634778670485563</v>
      </c>
      <c r="V59" s="163">
        <f t="shared" si="147"/>
        <v>4.4573209497047444</v>
      </c>
      <c r="W59" s="163">
        <f t="shared" si="147"/>
        <v>4.3298901364730362</v>
      </c>
      <c r="X59" s="163">
        <f t="shared" si="147"/>
        <v>4.508513703920614</v>
      </c>
      <c r="Y59" s="163">
        <f t="shared" si="147"/>
        <v>4.8397198165418311</v>
      </c>
      <c r="Z59" s="163">
        <f t="shared" si="147"/>
        <v>5.4423137689055636</v>
      </c>
      <c r="AA59" s="163">
        <f t="shared" si="147"/>
        <v>5.9307474729131977</v>
      </c>
      <c r="AB59" s="163">
        <f t="shared" si="147"/>
        <v>6.487944074734358</v>
      </c>
      <c r="AC59" s="163">
        <f t="shared" si="147"/>
        <v>7.1935597840300396</v>
      </c>
      <c r="AD59" s="163">
        <f t="shared" si="147"/>
        <v>8.0417435599869833</v>
      </c>
      <c r="AE59" s="163">
        <f t="shared" si="147"/>
        <v>8.8848249632731626</v>
      </c>
      <c r="AF59" s="163">
        <f t="shared" si="147"/>
        <v>9.6356993490290748</v>
      </c>
      <c r="AG59" s="163">
        <f t="shared" si="147"/>
        <v>10.782864790490107</v>
      </c>
      <c r="AH59" s="163">
        <f t="shared" ref="AH59" si="148">(AH34-$P$34)/(LOG(AH58/$P$58)/LOG(2))</f>
        <v>11.169752012157462</v>
      </c>
      <c r="AI59" s="163">
        <f t="shared" ref="AI59" si="149">(AI34-$P$34)/(LOG(AI58/$P$58)/LOG(2))</f>
        <v>11.541754866032436</v>
      </c>
      <c r="AJ59" s="163">
        <f t="shared" ref="AJ59" si="150">(AJ34-$P$34)/(LOG(AJ58/$P$58)/LOG(2))</f>
        <v>11.984932257413069</v>
      </c>
      <c r="AK59" s="163">
        <f t="shared" ref="AK59" si="151">(AK34-$P$34)/(LOG(AK58/$P$58)/LOG(2))</f>
        <v>12.52801993895188</v>
      </c>
      <c r="AL59" s="163">
        <f t="shared" si="147"/>
        <v>13.291033257422271</v>
      </c>
      <c r="AM59" s="163">
        <f t="shared" ref="AM59" si="152">(AM34-$P$34)/(LOG(AM58/$P$58)/LOG(2))</f>
        <v>17.061984322788586</v>
      </c>
      <c r="AN59" s="172">
        <f t="shared" ref="AN59" si="153">(AN34-$P$34)/(LOG(AN58/$P$58)/LOG(2))</f>
        <v>20.060050174097753</v>
      </c>
      <c r="AO59" s="172">
        <f t="shared" ref="AO59" si="154">(AO34-$P$34)/(LOG(AO58/$P$58)/LOG(2))</f>
        <v>23.376250428531083</v>
      </c>
      <c r="AP59" s="172">
        <f t="shared" ref="AP59" si="155">(AP34-$P$34)/(LOG(AP58/$P$58)/LOG(2))</f>
        <v>26.656948029152051</v>
      </c>
      <c r="AQ59" s="172">
        <f t="shared" si="147"/>
        <v>29.907297312192792</v>
      </c>
      <c r="AR59" s="172">
        <f t="shared" ref="AR59" si="156">(AR34-$P$34)/(LOG(AR58/$P$58)/LOG(2))</f>
        <v>32.915969714652206</v>
      </c>
      <c r="AS59" s="172">
        <f t="shared" ref="AS59" si="157">(AS34-$P$34)/(LOG(AS58/$P$58)/LOG(2))</f>
        <v>35.918363056790199</v>
      </c>
      <c r="AT59" s="172">
        <f t="shared" ref="AT59" si="158">(AT34-$P$34)/(LOG(AT58/$P$58)/LOG(2))</f>
        <v>38.911756538046717</v>
      </c>
      <c r="AU59" s="172">
        <f t="shared" ref="AU59" si="159">(AU34-$P$34)/(LOG(AU58/$P$58)/LOG(2))</f>
        <v>41.895041116264601</v>
      </c>
      <c r="AV59" s="172">
        <f t="shared" si="147"/>
        <v>44.867878256473496</v>
      </c>
      <c r="AW59" s="172">
        <f t="shared" ref="AW59" si="160">(AW34-$P$34)/(LOG(AW58/$P$58)/LOG(2))</f>
        <v>47.534859659454682</v>
      </c>
      <c r="AX59" s="172">
        <f t="shared" ref="AX59" si="161">(AX34-$P$34)/(LOG(AX58/$P$58)/LOG(2))</f>
        <v>50.232861154255829</v>
      </c>
      <c r="AY59" s="172">
        <f t="shared" ref="AY59" si="162">(AY34-$P$34)/(LOG(AY58/$P$58)/LOG(2))</f>
        <v>52.94892326526756</v>
      </c>
      <c r="AZ59" s="172">
        <f t="shared" ref="AZ59" si="163">(AZ34-$P$34)/(LOG(AZ58/$P$58)/LOG(2))</f>
        <v>55.675424074993607</v>
      </c>
      <c r="BA59" s="172">
        <f t="shared" si="147"/>
        <v>58.407626638020169</v>
      </c>
      <c r="BB59" s="172">
        <f t="shared" ref="BB59" si="164">(BB34-$P$34)/(LOG(BB58/$P$58)/LOG(2))</f>
        <v>60.782495571343709</v>
      </c>
      <c r="BC59" s="172">
        <f t="shared" ref="BC59" si="165">(BC34-$P$34)/(LOG(BC58/$P$58)/LOG(2))</f>
        <v>63.218517333807526</v>
      </c>
      <c r="BD59" s="172">
        <f t="shared" ref="BD59" si="166">(BD34-$P$34)/(LOG(BD58/$P$58)/LOG(2))</f>
        <v>65.694542037792445</v>
      </c>
      <c r="BE59" s="172">
        <f t="shared" ref="BE59" si="167">(BE34-$P$34)/(LOG(BE58/$P$58)/LOG(2))</f>
        <v>68.197720414940534</v>
      </c>
      <c r="BF59" s="172">
        <f t="shared" si="147"/>
        <v>70.719775070774702</v>
      </c>
      <c r="BG59" s="172">
        <f t="shared" ref="BG59" si="168">(BG34-$P$34)/(LOG(BG58/$P$58)/LOG(2))</f>
        <v>72.843169868127148</v>
      </c>
      <c r="BH59" s="172">
        <f t="shared" ref="BH59" si="169">(BH34-$P$34)/(LOG(BH58/$P$58)/LOG(2))</f>
        <v>75.052162196787791</v>
      </c>
      <c r="BI59" s="172">
        <f t="shared" ref="BI59" si="170">(BI34-$P$34)/(LOG(BI58/$P$58)/LOG(2))</f>
        <v>77.319024507433085</v>
      </c>
      <c r="BJ59" s="172">
        <f t="shared" ref="BJ59" si="171">(BJ34-$P$34)/(LOG(BJ58/$P$58)/LOG(2))</f>
        <v>79.626695399229746</v>
      </c>
      <c r="BK59" s="172">
        <f t="shared" si="147"/>
        <v>81.964036327432908</v>
      </c>
      <c r="BL59" s="175">
        <f t="shared" si="147"/>
        <v>92.273569545305662</v>
      </c>
      <c r="BM59" s="175">
        <f t="shared" si="147"/>
        <v>92.273569545305662</v>
      </c>
      <c r="BN59" s="175">
        <f t="shared" si="147"/>
        <v>100.12650044165385</v>
      </c>
      <c r="BO59" s="176">
        <f t="shared" si="147"/>
        <v>102.32535692194115</v>
      </c>
    </row>
    <row r="60" spans="1:70" x14ac:dyDescent="0.25">
      <c r="A60" s="41" t="s">
        <v>199</v>
      </c>
      <c r="B60" s="16"/>
      <c r="C60" s="16"/>
      <c r="D60" s="16"/>
      <c r="E60" s="16"/>
      <c r="F60" s="16"/>
      <c r="G60" s="16"/>
      <c r="H60" s="16"/>
      <c r="I60" s="16"/>
      <c r="J60" s="16"/>
      <c r="K60" s="16"/>
      <c r="L60" s="16"/>
      <c r="M60" s="16"/>
      <c r="N60" s="16"/>
      <c r="O60" s="16"/>
      <c r="P60" s="267">
        <v>27</v>
      </c>
      <c r="Q60" s="268">
        <v>58</v>
      </c>
      <c r="R60" s="268">
        <v>99</v>
      </c>
      <c r="S60" s="268">
        <v>221</v>
      </c>
      <c r="T60" s="268">
        <v>486</v>
      </c>
      <c r="U60" s="268">
        <v>879</v>
      </c>
      <c r="V60" s="268">
        <v>1792</v>
      </c>
      <c r="W60" s="268">
        <v>3843</v>
      </c>
      <c r="X60" s="268">
        <v>6577</v>
      </c>
      <c r="Y60" s="268">
        <v>13381</v>
      </c>
      <c r="Z60" s="268">
        <v>23546</v>
      </c>
      <c r="AA60" s="268">
        <v>43980</v>
      </c>
      <c r="AB60" s="268">
        <v>69244</v>
      </c>
      <c r="AC60" s="268">
        <v>126431</v>
      </c>
      <c r="AD60" s="268">
        <v>197840</v>
      </c>
      <c r="AE60" s="268">
        <v>360094</v>
      </c>
      <c r="AF60" s="268">
        <v>616617</v>
      </c>
      <c r="AG60" s="268">
        <v>862487</v>
      </c>
      <c r="AH60" s="268">
        <v>989860</v>
      </c>
      <c r="AI60" s="268">
        <v>967161</v>
      </c>
      <c r="AJ60" s="268">
        <v>938869</v>
      </c>
      <c r="AK60" s="268">
        <v>804705</v>
      </c>
      <c r="AL60" s="268">
        <v>571529</v>
      </c>
      <c r="AM60" s="268">
        <v>217839</v>
      </c>
      <c r="AN60" s="275"/>
      <c r="AO60" s="275"/>
      <c r="AP60" s="275"/>
      <c r="AQ60" s="275"/>
      <c r="AR60" s="275"/>
      <c r="AS60" s="275"/>
      <c r="AT60" s="275"/>
      <c r="AU60" s="275"/>
      <c r="AV60" s="275"/>
      <c r="AW60" s="275"/>
      <c r="AX60" s="275"/>
      <c r="AY60" s="275"/>
      <c r="AZ60" s="275"/>
      <c r="BA60" s="275"/>
      <c r="BB60" s="275"/>
      <c r="BC60" s="275"/>
      <c r="BD60" s="275"/>
      <c r="BE60" s="275"/>
      <c r="BF60" s="275"/>
      <c r="BG60" s="275"/>
      <c r="BH60" s="275"/>
      <c r="BI60" s="275"/>
      <c r="BJ60" s="275"/>
      <c r="BK60" s="275"/>
      <c r="BL60" s="269"/>
      <c r="BM60" s="269"/>
      <c r="BN60" s="269"/>
      <c r="BO60" s="270"/>
    </row>
    <row r="61" spans="1:70" x14ac:dyDescent="0.25">
      <c r="A61" s="41" t="s">
        <v>61</v>
      </c>
      <c r="B61" s="16"/>
      <c r="C61" s="16"/>
      <c r="D61" s="16"/>
      <c r="E61" s="16"/>
      <c r="F61" s="16"/>
      <c r="G61" s="16"/>
      <c r="H61" s="16"/>
      <c r="I61" s="16"/>
      <c r="J61" s="16"/>
      <c r="K61" s="16"/>
      <c r="L61" s="16"/>
      <c r="M61" s="16"/>
      <c r="N61" s="16"/>
      <c r="O61" s="16"/>
      <c r="P61" s="216">
        <f>P58-P62-P60</f>
        <v>3</v>
      </c>
      <c r="Q61" s="139">
        <f t="shared" ref="Q61:X61" si="172">Q58-Q62-Q60</f>
        <v>4</v>
      </c>
      <c r="R61" s="139">
        <f t="shared" si="172"/>
        <v>13</v>
      </c>
      <c r="S61" s="139">
        <f t="shared" si="172"/>
        <v>23</v>
      </c>
      <c r="T61" s="139">
        <f t="shared" si="172"/>
        <v>40</v>
      </c>
      <c r="U61" s="139">
        <f t="shared" si="172"/>
        <v>84</v>
      </c>
      <c r="V61" s="139">
        <f t="shared" si="172"/>
        <v>148</v>
      </c>
      <c r="W61" s="139">
        <f t="shared" si="172"/>
        <v>328</v>
      </c>
      <c r="X61" s="139">
        <f t="shared" si="172"/>
        <v>774</v>
      </c>
      <c r="Y61" s="139">
        <f t="shared" ref="Y61:Z61" si="173">Y58-Y62-Y60</f>
        <v>2463</v>
      </c>
      <c r="Z61" s="139">
        <f t="shared" si="173"/>
        <v>8437</v>
      </c>
      <c r="AA61" s="139">
        <f t="shared" ref="AA61:AB61" si="174">AA58-AA62-AA60</f>
        <v>20969</v>
      </c>
      <c r="AB61" s="139">
        <f t="shared" si="174"/>
        <v>51824</v>
      </c>
      <c r="AC61" s="139">
        <f t="shared" ref="AC61:AD61" si="175">AC58-AC62-AC60</f>
        <v>123848</v>
      </c>
      <c r="AD61" s="139">
        <f t="shared" si="175"/>
        <v>295917</v>
      </c>
      <c r="AE61" s="139">
        <f t="shared" ref="AE61:AF61" si="176">AE58-AE62-AE60</f>
        <v>654078</v>
      </c>
      <c r="AF61" s="139">
        <f t="shared" si="176"/>
        <v>1424669</v>
      </c>
      <c r="AG61" s="139">
        <f t="shared" ref="AG61:AL61" si="177">AG58-AG62-AG60</f>
        <v>3177673</v>
      </c>
      <c r="AH61" s="139">
        <f t="shared" ref="AH61:AK61" si="178">AH58-AH62-AH60</f>
        <v>3856246</v>
      </c>
      <c r="AI61" s="139">
        <f t="shared" si="178"/>
        <v>4671850</v>
      </c>
      <c r="AJ61" s="139">
        <f t="shared" si="178"/>
        <v>5506732</v>
      </c>
      <c r="AK61" s="139">
        <f t="shared" si="178"/>
        <v>6448658</v>
      </c>
      <c r="AL61" s="139">
        <f t="shared" si="177"/>
        <v>7489203</v>
      </c>
      <c r="AM61" s="139">
        <f t="shared" ref="AM61" si="179">AM58-AM62-AM60</f>
        <v>9457823</v>
      </c>
      <c r="AN61" s="276">
        <v>10786457</v>
      </c>
      <c r="AO61" s="276"/>
      <c r="AP61" s="276"/>
      <c r="AQ61" s="276"/>
      <c r="AR61" s="276"/>
      <c r="AS61" s="276"/>
      <c r="AT61" s="276"/>
      <c r="AU61" s="276"/>
      <c r="AV61" s="276"/>
      <c r="AW61" s="276"/>
      <c r="AX61" s="276"/>
      <c r="AY61" s="276"/>
      <c r="AZ61" s="276"/>
      <c r="BA61" s="276"/>
      <c r="BB61" s="276"/>
      <c r="BC61" s="276"/>
      <c r="BD61" s="276"/>
      <c r="BE61" s="276"/>
      <c r="BF61" s="276"/>
      <c r="BG61" s="276"/>
      <c r="BH61" s="276"/>
      <c r="BI61" s="276"/>
      <c r="BJ61" s="276"/>
      <c r="BK61" s="276"/>
      <c r="BL61" s="101"/>
      <c r="BM61" s="101"/>
      <c r="BN61" s="101"/>
      <c r="BO61" s="102"/>
    </row>
    <row r="62" spans="1:70" x14ac:dyDescent="0.25">
      <c r="A62" s="49" t="s">
        <v>43</v>
      </c>
      <c r="B62" s="38"/>
      <c r="C62" s="39"/>
      <c r="D62" s="39"/>
      <c r="E62" s="39"/>
      <c r="F62" s="39"/>
      <c r="G62" s="39"/>
      <c r="H62" s="39"/>
      <c r="I62" s="39"/>
      <c r="J62" s="39"/>
      <c r="K62" s="39"/>
      <c r="L62" s="39"/>
      <c r="M62" s="39"/>
      <c r="N62" s="39"/>
      <c r="O62" s="39"/>
      <c r="P62" s="271">
        <v>0</v>
      </c>
      <c r="Q62" s="272">
        <v>0</v>
      </c>
      <c r="R62" s="273">
        <v>2</v>
      </c>
      <c r="S62" s="273">
        <v>5</v>
      </c>
      <c r="T62" s="273">
        <v>10</v>
      </c>
      <c r="U62" s="273">
        <v>24</v>
      </c>
      <c r="V62" s="273">
        <v>58</v>
      </c>
      <c r="W62" s="273">
        <v>118</v>
      </c>
      <c r="X62" s="273">
        <v>249</v>
      </c>
      <c r="Y62" s="273">
        <v>521</v>
      </c>
      <c r="Z62" s="273">
        <v>1079</v>
      </c>
      <c r="AA62" s="273">
        <v>2212</v>
      </c>
      <c r="AB62" s="273">
        <v>3726</v>
      </c>
      <c r="AC62" s="273">
        <v>7207</v>
      </c>
      <c r="AD62" s="273">
        <v>15689</v>
      </c>
      <c r="AE62" s="273">
        <v>26285</v>
      </c>
      <c r="AF62" s="273">
        <v>45578</v>
      </c>
      <c r="AG62" s="273">
        <v>70679</v>
      </c>
      <c r="AH62" s="273">
        <v>80808</v>
      </c>
      <c r="AI62" s="273">
        <v>91173</v>
      </c>
      <c r="AJ62" s="273">
        <v>101812</v>
      </c>
      <c r="AK62" s="273">
        <v>112146</v>
      </c>
      <c r="AL62" s="273">
        <v>122149</v>
      </c>
      <c r="AM62" s="273">
        <v>151364</v>
      </c>
      <c r="AN62" s="277">
        <v>157195</v>
      </c>
      <c r="AO62" s="277"/>
      <c r="AP62" s="277"/>
      <c r="AQ62" s="277"/>
      <c r="AR62" s="277"/>
      <c r="AS62" s="277"/>
      <c r="AT62" s="277"/>
      <c r="AU62" s="277"/>
      <c r="AV62" s="277"/>
      <c r="AW62" s="277"/>
      <c r="AX62" s="277"/>
      <c r="AY62" s="277"/>
      <c r="AZ62" s="277"/>
      <c r="BA62" s="277"/>
      <c r="BB62" s="277"/>
      <c r="BC62" s="277"/>
      <c r="BD62" s="277"/>
      <c r="BE62" s="277"/>
      <c r="BF62" s="277"/>
      <c r="BG62" s="277"/>
      <c r="BH62" s="277"/>
      <c r="BI62" s="277"/>
      <c r="BJ62" s="277"/>
      <c r="BK62" s="277"/>
      <c r="BL62" s="81"/>
      <c r="BM62" s="81"/>
      <c r="BN62" s="81"/>
      <c r="BO62" s="34"/>
    </row>
    <row r="63" spans="1:70" x14ac:dyDescent="0.25">
      <c r="B63" s="3"/>
      <c r="P63" s="35"/>
      <c r="Q63" s="35"/>
      <c r="R63" s="35"/>
      <c r="S63" s="35"/>
      <c r="T63" s="35"/>
      <c r="U63" s="35"/>
      <c r="V63" s="35"/>
      <c r="W63" s="35"/>
      <c r="X63" s="35"/>
      <c r="Y63" s="35"/>
      <c r="Z63" s="35"/>
      <c r="AA63" s="35"/>
      <c r="AB63" s="35"/>
      <c r="AC63" s="35"/>
      <c r="AD63" s="35"/>
      <c r="AE63" s="35"/>
      <c r="AF63" s="35"/>
      <c r="AG63" s="35"/>
      <c r="AH63" s="35"/>
      <c r="AI63" s="35"/>
      <c r="AJ63" s="35"/>
      <c r="AK63" s="35"/>
    </row>
    <row r="64" spans="1:70" x14ac:dyDescent="0.25">
      <c r="A64" s="71" t="s">
        <v>48</v>
      </c>
      <c r="AG64" s="16"/>
      <c r="AH64" s="16"/>
      <c r="AI64" s="16"/>
      <c r="AJ64" s="16"/>
      <c r="AK64" s="16"/>
    </row>
    <row r="65" spans="1:67" x14ac:dyDescent="0.25">
      <c r="A65" s="4" t="s">
        <v>0</v>
      </c>
      <c r="B65" s="179" t="s">
        <v>116</v>
      </c>
      <c r="C65" s="5" t="s">
        <v>3</v>
      </c>
      <c r="D65" s="179" t="s">
        <v>50</v>
      </c>
      <c r="E65" s="57" t="s">
        <v>2</v>
      </c>
      <c r="F65" s="58" t="s">
        <v>187</v>
      </c>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5"/>
      <c r="BO65" s="47"/>
    </row>
    <row r="66" spans="1:67" x14ac:dyDescent="0.25">
      <c r="A66" s="41" t="s">
        <v>12</v>
      </c>
      <c r="B66" s="13">
        <f>'Population by Age - Wikipedia'!D23</f>
        <v>9.323168516819004E-3</v>
      </c>
      <c r="C66" s="12">
        <f>$B$21*B66</f>
        <v>12979304.989700677</v>
      </c>
      <c r="D66" s="22">
        <f>'Infection Rate by Age'!B4</f>
        <v>0.01</v>
      </c>
      <c r="E66" s="5"/>
      <c r="F66" s="16"/>
      <c r="G66" s="16"/>
      <c r="H66" s="16"/>
      <c r="I66" s="16"/>
      <c r="J66" s="16"/>
      <c r="K66" s="16"/>
      <c r="L66" s="16"/>
      <c r="M66" s="16"/>
      <c r="N66" s="16"/>
      <c r="O66" s="16"/>
      <c r="P66" s="18">
        <f t="shared" ref="P66:BN66" si="180">P$35*$D$66</f>
        <v>0.3125</v>
      </c>
      <c r="Q66" s="19">
        <f t="shared" si="180"/>
        <v>0.625</v>
      </c>
      <c r="R66" s="19">
        <f t="shared" si="180"/>
        <v>1.25</v>
      </c>
      <c r="S66" s="19">
        <f t="shared" si="180"/>
        <v>2.5</v>
      </c>
      <c r="T66" s="19">
        <f t="shared" si="180"/>
        <v>5</v>
      </c>
      <c r="U66" s="19">
        <f t="shared" si="180"/>
        <v>10</v>
      </c>
      <c r="V66" s="19">
        <f t="shared" si="180"/>
        <v>20</v>
      </c>
      <c r="W66" s="19">
        <f t="shared" si="180"/>
        <v>40</v>
      </c>
      <c r="X66" s="19">
        <f t="shared" si="180"/>
        <v>80</v>
      </c>
      <c r="Y66" s="19">
        <f t="shared" si="180"/>
        <v>160</v>
      </c>
      <c r="Z66" s="19">
        <f t="shared" si="180"/>
        <v>320</v>
      </c>
      <c r="AA66" s="19">
        <f t="shared" si="180"/>
        <v>640</v>
      </c>
      <c r="AB66" s="19">
        <f t="shared" si="180"/>
        <v>1280</v>
      </c>
      <c r="AC66" s="19">
        <f t="shared" si="180"/>
        <v>2560</v>
      </c>
      <c r="AD66" s="19">
        <f t="shared" si="180"/>
        <v>5120</v>
      </c>
      <c r="AE66" s="19">
        <f t="shared" si="180"/>
        <v>10240</v>
      </c>
      <c r="AF66" s="19">
        <f t="shared" si="180"/>
        <v>20480</v>
      </c>
      <c r="AG66" s="19">
        <f t="shared" si="180"/>
        <v>40960</v>
      </c>
      <c r="AH66" s="19">
        <f t="shared" si="180"/>
        <v>49152</v>
      </c>
      <c r="AI66" s="19">
        <f t="shared" si="180"/>
        <v>57344</v>
      </c>
      <c r="AJ66" s="19">
        <f t="shared" si="180"/>
        <v>65536</v>
      </c>
      <c r="AK66" s="19">
        <f t="shared" si="180"/>
        <v>73728</v>
      </c>
      <c r="AL66" s="19">
        <f t="shared" si="180"/>
        <v>81920</v>
      </c>
      <c r="AM66" s="19">
        <f t="shared" si="180"/>
        <v>98304</v>
      </c>
      <c r="AN66" s="19">
        <f t="shared" si="180"/>
        <v>114688</v>
      </c>
      <c r="AO66" s="19">
        <f t="shared" si="180"/>
        <v>131072</v>
      </c>
      <c r="AP66" s="19">
        <f t="shared" si="180"/>
        <v>147456</v>
      </c>
      <c r="AQ66" s="19">
        <f t="shared" si="180"/>
        <v>163840</v>
      </c>
      <c r="AR66" s="19">
        <f t="shared" si="180"/>
        <v>196608</v>
      </c>
      <c r="AS66" s="19">
        <f t="shared" si="180"/>
        <v>229376</v>
      </c>
      <c r="AT66" s="19">
        <f t="shared" si="180"/>
        <v>262144</v>
      </c>
      <c r="AU66" s="19">
        <f t="shared" si="180"/>
        <v>294912</v>
      </c>
      <c r="AV66" s="19">
        <f t="shared" si="180"/>
        <v>327680</v>
      </c>
      <c r="AW66" s="19">
        <f t="shared" si="180"/>
        <v>393216</v>
      </c>
      <c r="AX66" s="19">
        <f t="shared" si="180"/>
        <v>458752</v>
      </c>
      <c r="AY66" s="19">
        <f t="shared" si="180"/>
        <v>524288</v>
      </c>
      <c r="AZ66" s="19">
        <f t="shared" si="180"/>
        <v>589824</v>
      </c>
      <c r="BA66" s="19">
        <f t="shared" si="180"/>
        <v>655360</v>
      </c>
      <c r="BB66" s="19">
        <f t="shared" si="180"/>
        <v>786432</v>
      </c>
      <c r="BC66" s="19">
        <f t="shared" si="180"/>
        <v>917504</v>
      </c>
      <c r="BD66" s="19">
        <f t="shared" si="180"/>
        <v>1048576</v>
      </c>
      <c r="BE66" s="19">
        <f t="shared" si="180"/>
        <v>1179648</v>
      </c>
      <c r="BF66" s="19">
        <f t="shared" si="180"/>
        <v>1310720</v>
      </c>
      <c r="BG66" s="19">
        <f t="shared" si="180"/>
        <v>1572864</v>
      </c>
      <c r="BH66" s="19">
        <f t="shared" si="180"/>
        <v>1835008</v>
      </c>
      <c r="BI66" s="19">
        <f t="shared" si="180"/>
        <v>2097152</v>
      </c>
      <c r="BJ66" s="19">
        <f t="shared" si="180"/>
        <v>2359296</v>
      </c>
      <c r="BK66" s="19">
        <f t="shared" si="180"/>
        <v>2621440</v>
      </c>
      <c r="BL66" s="19">
        <f t="shared" si="180"/>
        <v>5242880</v>
      </c>
      <c r="BM66" s="19">
        <f t="shared" si="180"/>
        <v>10485760</v>
      </c>
      <c r="BN66" s="59">
        <f t="shared" si="180"/>
        <v>13921560</v>
      </c>
      <c r="BO66" s="45"/>
    </row>
    <row r="67" spans="1:67" x14ac:dyDescent="0.25">
      <c r="A67" s="41"/>
      <c r="B67" s="6"/>
      <c r="C67" s="10"/>
      <c r="D67" s="8"/>
      <c r="E67" s="27">
        <v>0.14799999999999999</v>
      </c>
      <c r="F67" s="15">
        <v>7.9000000000000001E-2</v>
      </c>
      <c r="G67" s="10"/>
      <c r="H67" s="10"/>
      <c r="I67" s="10"/>
      <c r="J67" s="10"/>
      <c r="K67" s="10"/>
      <c r="L67" s="10"/>
      <c r="M67" s="10"/>
      <c r="N67" s="15"/>
      <c r="O67" s="10"/>
      <c r="P67" s="29">
        <f t="shared" ref="P67:BN67" si="181">P$35*$D$66*$E$67</f>
        <v>4.6249999999999999E-2</v>
      </c>
      <c r="Q67" s="30">
        <f t="shared" si="181"/>
        <v>9.2499999999999999E-2</v>
      </c>
      <c r="R67" s="30">
        <f t="shared" si="181"/>
        <v>0.185</v>
      </c>
      <c r="S67" s="30">
        <f t="shared" si="181"/>
        <v>0.37</v>
      </c>
      <c r="T67" s="30">
        <f t="shared" si="181"/>
        <v>0.74</v>
      </c>
      <c r="U67" s="30">
        <f t="shared" si="181"/>
        <v>1.48</v>
      </c>
      <c r="V67" s="30">
        <f t="shared" si="181"/>
        <v>2.96</v>
      </c>
      <c r="W67" s="30">
        <f t="shared" si="181"/>
        <v>5.92</v>
      </c>
      <c r="X67" s="30">
        <f t="shared" si="181"/>
        <v>11.84</v>
      </c>
      <c r="Y67" s="30">
        <f t="shared" si="181"/>
        <v>23.68</v>
      </c>
      <c r="Z67" s="30">
        <f t="shared" si="181"/>
        <v>47.36</v>
      </c>
      <c r="AA67" s="30">
        <f t="shared" si="181"/>
        <v>94.72</v>
      </c>
      <c r="AB67" s="30">
        <f t="shared" si="181"/>
        <v>189.44</v>
      </c>
      <c r="AC67" s="30">
        <f t="shared" si="181"/>
        <v>378.88</v>
      </c>
      <c r="AD67" s="30">
        <f t="shared" si="181"/>
        <v>757.76</v>
      </c>
      <c r="AE67" s="30">
        <f t="shared" si="181"/>
        <v>1515.52</v>
      </c>
      <c r="AF67" s="30">
        <f t="shared" si="181"/>
        <v>3031.04</v>
      </c>
      <c r="AG67" s="30">
        <f t="shared" si="181"/>
        <v>6062.08</v>
      </c>
      <c r="AH67" s="30">
        <f t="shared" si="181"/>
        <v>7274.4959999999992</v>
      </c>
      <c r="AI67" s="30">
        <f t="shared" si="181"/>
        <v>8486.9120000000003</v>
      </c>
      <c r="AJ67" s="30">
        <f t="shared" si="181"/>
        <v>9699.3279999999995</v>
      </c>
      <c r="AK67" s="30">
        <f t="shared" si="181"/>
        <v>10911.743999999999</v>
      </c>
      <c r="AL67" s="30">
        <f t="shared" si="181"/>
        <v>12124.16</v>
      </c>
      <c r="AM67" s="30">
        <f t="shared" si="181"/>
        <v>14548.991999999998</v>
      </c>
      <c r="AN67" s="30">
        <f t="shared" si="181"/>
        <v>16973.824000000001</v>
      </c>
      <c r="AO67" s="30">
        <f t="shared" si="181"/>
        <v>19398.655999999999</v>
      </c>
      <c r="AP67" s="30">
        <f t="shared" si="181"/>
        <v>21823.487999999998</v>
      </c>
      <c r="AQ67" s="30">
        <f t="shared" si="181"/>
        <v>24248.32</v>
      </c>
      <c r="AR67" s="30">
        <f t="shared" si="181"/>
        <v>29097.983999999997</v>
      </c>
      <c r="AS67" s="30">
        <f t="shared" si="181"/>
        <v>33947.648000000001</v>
      </c>
      <c r="AT67" s="30">
        <f t="shared" si="181"/>
        <v>38797.311999999998</v>
      </c>
      <c r="AU67" s="30">
        <f t="shared" si="181"/>
        <v>43646.975999999995</v>
      </c>
      <c r="AV67" s="30">
        <f t="shared" si="181"/>
        <v>48496.639999999999</v>
      </c>
      <c r="AW67" s="30">
        <f t="shared" si="181"/>
        <v>58195.967999999993</v>
      </c>
      <c r="AX67" s="30">
        <f t="shared" si="181"/>
        <v>67895.296000000002</v>
      </c>
      <c r="AY67" s="30">
        <f t="shared" si="181"/>
        <v>77594.623999999996</v>
      </c>
      <c r="AZ67" s="30">
        <f t="shared" si="181"/>
        <v>87293.95199999999</v>
      </c>
      <c r="BA67" s="30">
        <f t="shared" si="181"/>
        <v>96993.279999999999</v>
      </c>
      <c r="BB67" s="30">
        <f t="shared" si="181"/>
        <v>116391.93599999999</v>
      </c>
      <c r="BC67" s="30">
        <f t="shared" si="181"/>
        <v>135790.592</v>
      </c>
      <c r="BD67" s="30">
        <f t="shared" si="181"/>
        <v>155189.24799999999</v>
      </c>
      <c r="BE67" s="30">
        <f t="shared" si="181"/>
        <v>174587.90399999998</v>
      </c>
      <c r="BF67" s="30">
        <f t="shared" si="181"/>
        <v>193986.56</v>
      </c>
      <c r="BG67" s="30">
        <f t="shared" si="181"/>
        <v>232783.87199999997</v>
      </c>
      <c r="BH67" s="30">
        <f t="shared" si="181"/>
        <v>271581.18400000001</v>
      </c>
      <c r="BI67" s="30">
        <f t="shared" si="181"/>
        <v>310378.49599999998</v>
      </c>
      <c r="BJ67" s="30">
        <f t="shared" si="181"/>
        <v>349175.80799999996</v>
      </c>
      <c r="BK67" s="30">
        <f t="shared" si="181"/>
        <v>387973.12</v>
      </c>
      <c r="BL67" s="30">
        <f t="shared" si="181"/>
        <v>775946.23999999999</v>
      </c>
      <c r="BM67" s="30">
        <f t="shared" si="181"/>
        <v>1551892.48</v>
      </c>
      <c r="BN67" s="68">
        <f t="shared" si="181"/>
        <v>2060390.88</v>
      </c>
      <c r="BO67" s="45"/>
    </row>
    <row r="68" spans="1:67" x14ac:dyDescent="0.25">
      <c r="A68" s="41" t="s">
        <v>13</v>
      </c>
      <c r="B68" s="6">
        <f>'Population by Age - Wikipedia'!D18</f>
        <v>2.3488646898463382E-2</v>
      </c>
      <c r="C68" s="10">
        <f t="shared" ref="C68:C82" si="182">$B$21*B68</f>
        <v>32699860.711577188</v>
      </c>
      <c r="D68" s="23">
        <f>'Infection Rate by Age'!B5</f>
        <v>2.9000000000000001E-2</v>
      </c>
      <c r="E68" s="17"/>
      <c r="F68" s="16"/>
      <c r="G68" s="16"/>
      <c r="H68" s="16"/>
      <c r="I68" s="16"/>
      <c r="J68" s="16"/>
      <c r="K68" s="16"/>
      <c r="L68" s="16"/>
      <c r="M68" s="16"/>
      <c r="N68" s="16"/>
      <c r="O68" s="16"/>
      <c r="P68" s="20">
        <f t="shared" ref="P68:BN68" si="183">P$35*$D$68</f>
        <v>0.90625</v>
      </c>
      <c r="Q68" s="21">
        <f t="shared" si="183"/>
        <v>1.8125</v>
      </c>
      <c r="R68" s="21">
        <f t="shared" si="183"/>
        <v>3.625</v>
      </c>
      <c r="S68" s="21">
        <f t="shared" si="183"/>
        <v>7.25</v>
      </c>
      <c r="T68" s="21">
        <f t="shared" si="183"/>
        <v>14.5</v>
      </c>
      <c r="U68" s="21">
        <f t="shared" si="183"/>
        <v>29</v>
      </c>
      <c r="V68" s="21">
        <f t="shared" si="183"/>
        <v>58</v>
      </c>
      <c r="W68" s="21">
        <f t="shared" si="183"/>
        <v>116</v>
      </c>
      <c r="X68" s="21">
        <f t="shared" si="183"/>
        <v>232</v>
      </c>
      <c r="Y68" s="21">
        <f t="shared" si="183"/>
        <v>464</v>
      </c>
      <c r="Z68" s="21">
        <f t="shared" si="183"/>
        <v>928</v>
      </c>
      <c r="AA68" s="21">
        <f t="shared" si="183"/>
        <v>1856</v>
      </c>
      <c r="AB68" s="21">
        <f t="shared" si="183"/>
        <v>3712</v>
      </c>
      <c r="AC68" s="21">
        <f t="shared" si="183"/>
        <v>7424</v>
      </c>
      <c r="AD68" s="21">
        <f t="shared" si="183"/>
        <v>14848</v>
      </c>
      <c r="AE68" s="21">
        <f t="shared" si="183"/>
        <v>29696</v>
      </c>
      <c r="AF68" s="21">
        <f t="shared" si="183"/>
        <v>59392</v>
      </c>
      <c r="AG68" s="21">
        <f t="shared" si="183"/>
        <v>118784</v>
      </c>
      <c r="AH68" s="21">
        <f t="shared" si="183"/>
        <v>142540.80000000002</v>
      </c>
      <c r="AI68" s="21">
        <f t="shared" si="183"/>
        <v>166297.60000000001</v>
      </c>
      <c r="AJ68" s="21">
        <f t="shared" si="183"/>
        <v>190054.40000000002</v>
      </c>
      <c r="AK68" s="21">
        <f t="shared" si="183"/>
        <v>213811.20000000001</v>
      </c>
      <c r="AL68" s="21">
        <f t="shared" si="183"/>
        <v>237568</v>
      </c>
      <c r="AM68" s="21">
        <f t="shared" si="183"/>
        <v>285081.60000000003</v>
      </c>
      <c r="AN68" s="21">
        <f t="shared" si="183"/>
        <v>332595.20000000001</v>
      </c>
      <c r="AO68" s="21">
        <f t="shared" si="183"/>
        <v>380108.80000000005</v>
      </c>
      <c r="AP68" s="21">
        <f t="shared" si="183"/>
        <v>427622.40000000002</v>
      </c>
      <c r="AQ68" s="21">
        <f t="shared" si="183"/>
        <v>475136</v>
      </c>
      <c r="AR68" s="21">
        <f t="shared" si="183"/>
        <v>570163.20000000007</v>
      </c>
      <c r="AS68" s="21">
        <f t="shared" si="183"/>
        <v>665190.40000000002</v>
      </c>
      <c r="AT68" s="21">
        <f t="shared" si="183"/>
        <v>760217.60000000009</v>
      </c>
      <c r="AU68" s="21">
        <f t="shared" si="183"/>
        <v>855244.80000000005</v>
      </c>
      <c r="AV68" s="21">
        <f t="shared" si="183"/>
        <v>950272</v>
      </c>
      <c r="AW68" s="21">
        <f t="shared" si="183"/>
        <v>1140326.4000000001</v>
      </c>
      <c r="AX68" s="21">
        <f t="shared" si="183"/>
        <v>1330380.8</v>
      </c>
      <c r="AY68" s="21">
        <f t="shared" si="183"/>
        <v>1520435.2000000002</v>
      </c>
      <c r="AZ68" s="21">
        <f t="shared" si="183"/>
        <v>1710489.6000000001</v>
      </c>
      <c r="BA68" s="21">
        <f t="shared" si="183"/>
        <v>1900544</v>
      </c>
      <c r="BB68" s="21">
        <f t="shared" si="183"/>
        <v>2280652.8000000003</v>
      </c>
      <c r="BC68" s="21">
        <f t="shared" si="183"/>
        <v>2660761.6000000001</v>
      </c>
      <c r="BD68" s="21">
        <f t="shared" si="183"/>
        <v>3040870.4000000004</v>
      </c>
      <c r="BE68" s="21">
        <f t="shared" si="183"/>
        <v>3420979.2000000002</v>
      </c>
      <c r="BF68" s="21">
        <f t="shared" si="183"/>
        <v>3801088</v>
      </c>
      <c r="BG68" s="21">
        <f t="shared" si="183"/>
        <v>4561305.6000000006</v>
      </c>
      <c r="BH68" s="21">
        <f t="shared" si="183"/>
        <v>5321523.2000000002</v>
      </c>
      <c r="BI68" s="21">
        <f t="shared" si="183"/>
        <v>6081740.8000000007</v>
      </c>
      <c r="BJ68" s="21">
        <f t="shared" si="183"/>
        <v>6841958.4000000004</v>
      </c>
      <c r="BK68" s="21">
        <f t="shared" si="183"/>
        <v>7602176</v>
      </c>
      <c r="BL68" s="21">
        <f t="shared" si="183"/>
        <v>15204352</v>
      </c>
      <c r="BM68" s="21">
        <f t="shared" si="183"/>
        <v>30408704</v>
      </c>
      <c r="BN68" s="69">
        <f t="shared" si="183"/>
        <v>40372524</v>
      </c>
      <c r="BO68" s="45"/>
    </row>
    <row r="69" spans="1:67" x14ac:dyDescent="0.25">
      <c r="A69" s="41"/>
      <c r="B69" s="6"/>
      <c r="C69" s="10"/>
      <c r="D69" s="8"/>
      <c r="E69" s="27">
        <v>0.08</v>
      </c>
      <c r="F69" s="15">
        <v>0.13200000000000001</v>
      </c>
      <c r="G69" s="10"/>
      <c r="H69" s="10"/>
      <c r="I69" s="10"/>
      <c r="J69" s="10"/>
      <c r="K69" s="10"/>
      <c r="L69" s="10"/>
      <c r="M69" s="10"/>
      <c r="N69" s="15"/>
      <c r="O69" s="10"/>
      <c r="P69" s="29">
        <f t="shared" ref="P69:BN69" si="184">P$35*$D$68*$E$69</f>
        <v>7.2499999999999995E-2</v>
      </c>
      <c r="Q69" s="30">
        <f t="shared" si="184"/>
        <v>0.14499999999999999</v>
      </c>
      <c r="R69" s="30">
        <f t="shared" si="184"/>
        <v>0.28999999999999998</v>
      </c>
      <c r="S69" s="30">
        <f t="shared" si="184"/>
        <v>0.57999999999999996</v>
      </c>
      <c r="T69" s="30">
        <f t="shared" si="184"/>
        <v>1.1599999999999999</v>
      </c>
      <c r="U69" s="30">
        <f t="shared" si="184"/>
        <v>2.3199999999999998</v>
      </c>
      <c r="V69" s="30">
        <f t="shared" si="184"/>
        <v>4.6399999999999997</v>
      </c>
      <c r="W69" s="30">
        <f t="shared" si="184"/>
        <v>9.2799999999999994</v>
      </c>
      <c r="X69" s="30">
        <f t="shared" si="184"/>
        <v>18.559999999999999</v>
      </c>
      <c r="Y69" s="30">
        <f t="shared" si="184"/>
        <v>37.119999999999997</v>
      </c>
      <c r="Z69" s="30">
        <f t="shared" si="184"/>
        <v>74.239999999999995</v>
      </c>
      <c r="AA69" s="30">
        <f t="shared" si="184"/>
        <v>148.47999999999999</v>
      </c>
      <c r="AB69" s="30">
        <f t="shared" si="184"/>
        <v>296.95999999999998</v>
      </c>
      <c r="AC69" s="30">
        <f t="shared" si="184"/>
        <v>593.91999999999996</v>
      </c>
      <c r="AD69" s="30">
        <f t="shared" si="184"/>
        <v>1187.8399999999999</v>
      </c>
      <c r="AE69" s="30">
        <f t="shared" si="184"/>
        <v>2375.6799999999998</v>
      </c>
      <c r="AF69" s="30">
        <f t="shared" si="184"/>
        <v>4751.3599999999997</v>
      </c>
      <c r="AG69" s="30">
        <f t="shared" si="184"/>
        <v>9502.7199999999993</v>
      </c>
      <c r="AH69" s="30">
        <f t="shared" si="184"/>
        <v>11403.264000000001</v>
      </c>
      <c r="AI69" s="30">
        <f t="shared" si="184"/>
        <v>13303.808000000001</v>
      </c>
      <c r="AJ69" s="30">
        <f t="shared" si="184"/>
        <v>15204.352000000003</v>
      </c>
      <c r="AK69" s="30">
        <f t="shared" si="184"/>
        <v>17104.896000000001</v>
      </c>
      <c r="AL69" s="30">
        <f t="shared" si="184"/>
        <v>19005.439999999999</v>
      </c>
      <c r="AM69" s="30">
        <f t="shared" si="184"/>
        <v>22806.528000000002</v>
      </c>
      <c r="AN69" s="30">
        <f t="shared" si="184"/>
        <v>26607.616000000002</v>
      </c>
      <c r="AO69" s="30">
        <f t="shared" si="184"/>
        <v>30408.704000000005</v>
      </c>
      <c r="AP69" s="30">
        <f t="shared" si="184"/>
        <v>34209.792000000001</v>
      </c>
      <c r="AQ69" s="30">
        <f t="shared" si="184"/>
        <v>38010.879999999997</v>
      </c>
      <c r="AR69" s="30">
        <f t="shared" si="184"/>
        <v>45613.056000000004</v>
      </c>
      <c r="AS69" s="30">
        <f t="shared" si="184"/>
        <v>53215.232000000004</v>
      </c>
      <c r="AT69" s="30">
        <f t="shared" si="184"/>
        <v>60817.40800000001</v>
      </c>
      <c r="AU69" s="30">
        <f t="shared" si="184"/>
        <v>68419.584000000003</v>
      </c>
      <c r="AV69" s="30">
        <f t="shared" si="184"/>
        <v>76021.759999999995</v>
      </c>
      <c r="AW69" s="30">
        <f t="shared" si="184"/>
        <v>91226.112000000008</v>
      </c>
      <c r="AX69" s="30">
        <f t="shared" si="184"/>
        <v>106430.46400000001</v>
      </c>
      <c r="AY69" s="30">
        <f t="shared" si="184"/>
        <v>121634.81600000002</v>
      </c>
      <c r="AZ69" s="30">
        <f t="shared" si="184"/>
        <v>136839.16800000001</v>
      </c>
      <c r="BA69" s="30">
        <f t="shared" si="184"/>
        <v>152043.51999999999</v>
      </c>
      <c r="BB69" s="30">
        <f t="shared" si="184"/>
        <v>182452.22400000002</v>
      </c>
      <c r="BC69" s="30">
        <f t="shared" si="184"/>
        <v>212860.92800000001</v>
      </c>
      <c r="BD69" s="30">
        <f t="shared" si="184"/>
        <v>243269.63200000004</v>
      </c>
      <c r="BE69" s="30">
        <f t="shared" si="184"/>
        <v>273678.33600000001</v>
      </c>
      <c r="BF69" s="30">
        <f t="shared" si="184"/>
        <v>304087.03999999998</v>
      </c>
      <c r="BG69" s="30">
        <f t="shared" si="184"/>
        <v>364904.44800000003</v>
      </c>
      <c r="BH69" s="30">
        <f t="shared" si="184"/>
        <v>425721.85600000003</v>
      </c>
      <c r="BI69" s="30">
        <f t="shared" si="184"/>
        <v>486539.26400000008</v>
      </c>
      <c r="BJ69" s="30">
        <f t="shared" si="184"/>
        <v>547356.67200000002</v>
      </c>
      <c r="BK69" s="30">
        <f t="shared" si="184"/>
        <v>608174.07999999996</v>
      </c>
      <c r="BL69" s="30">
        <f t="shared" si="184"/>
        <v>1216348.1599999999</v>
      </c>
      <c r="BM69" s="30">
        <f t="shared" si="184"/>
        <v>2432696.3199999998</v>
      </c>
      <c r="BN69" s="68">
        <f t="shared" si="184"/>
        <v>3229801.92</v>
      </c>
      <c r="BO69" s="45"/>
    </row>
    <row r="70" spans="1:67" x14ac:dyDescent="0.25">
      <c r="A70" s="41" t="s">
        <v>14</v>
      </c>
      <c r="B70" s="6">
        <f>'Population by Age - Wikipedia'!D16</f>
        <v>5.2953236529497287E-2</v>
      </c>
      <c r="C70" s="10">
        <f t="shared" si="182"/>
        <v>73719165.953958824</v>
      </c>
      <c r="D70" s="23">
        <f>'Infection Rate by Age'!B6</f>
        <v>0.121</v>
      </c>
      <c r="E70" s="17"/>
      <c r="F70" s="10"/>
      <c r="G70" s="10"/>
      <c r="H70" s="10"/>
      <c r="I70" s="10"/>
      <c r="J70" s="10"/>
      <c r="K70" s="10"/>
      <c r="L70" s="10"/>
      <c r="M70" s="10"/>
      <c r="N70" s="10"/>
      <c r="O70" s="10"/>
      <c r="P70" s="20">
        <f t="shared" ref="P70:BN70" si="185">P$35*$D$70</f>
        <v>3.78125</v>
      </c>
      <c r="Q70" s="21">
        <f t="shared" si="185"/>
        <v>7.5625</v>
      </c>
      <c r="R70" s="21">
        <f t="shared" si="185"/>
        <v>15.125</v>
      </c>
      <c r="S70" s="21">
        <f t="shared" si="185"/>
        <v>30.25</v>
      </c>
      <c r="T70" s="21">
        <f t="shared" si="185"/>
        <v>60.5</v>
      </c>
      <c r="U70" s="21">
        <f t="shared" si="185"/>
        <v>121</v>
      </c>
      <c r="V70" s="21">
        <f t="shared" si="185"/>
        <v>242</v>
      </c>
      <c r="W70" s="21">
        <f t="shared" si="185"/>
        <v>484</v>
      </c>
      <c r="X70" s="21">
        <f t="shared" si="185"/>
        <v>968</v>
      </c>
      <c r="Y70" s="21">
        <f t="shared" si="185"/>
        <v>1936</v>
      </c>
      <c r="Z70" s="21">
        <f t="shared" si="185"/>
        <v>3872</v>
      </c>
      <c r="AA70" s="21">
        <f t="shared" si="185"/>
        <v>7744</v>
      </c>
      <c r="AB70" s="21">
        <f t="shared" si="185"/>
        <v>15488</v>
      </c>
      <c r="AC70" s="21">
        <f t="shared" si="185"/>
        <v>30976</v>
      </c>
      <c r="AD70" s="21">
        <f t="shared" si="185"/>
        <v>61952</v>
      </c>
      <c r="AE70" s="21">
        <f t="shared" si="185"/>
        <v>123904</v>
      </c>
      <c r="AF70" s="21">
        <f t="shared" si="185"/>
        <v>247808</v>
      </c>
      <c r="AG70" s="21">
        <f t="shared" si="185"/>
        <v>495616</v>
      </c>
      <c r="AH70" s="21">
        <f t="shared" si="185"/>
        <v>594739.19999999995</v>
      </c>
      <c r="AI70" s="21">
        <f t="shared" si="185"/>
        <v>693862.40000000002</v>
      </c>
      <c r="AJ70" s="21">
        <f t="shared" si="185"/>
        <v>792985.59999999998</v>
      </c>
      <c r="AK70" s="21">
        <f t="shared" si="185"/>
        <v>892108.79999999993</v>
      </c>
      <c r="AL70" s="21">
        <f t="shared" si="185"/>
        <v>991232</v>
      </c>
      <c r="AM70" s="21">
        <f t="shared" si="185"/>
        <v>1189478.3999999999</v>
      </c>
      <c r="AN70" s="21">
        <f t="shared" si="185"/>
        <v>1387724.8</v>
      </c>
      <c r="AO70" s="21">
        <f t="shared" si="185"/>
        <v>1585971.2</v>
      </c>
      <c r="AP70" s="21">
        <f t="shared" si="185"/>
        <v>1784217.5999999999</v>
      </c>
      <c r="AQ70" s="21">
        <f t="shared" si="185"/>
        <v>1982464</v>
      </c>
      <c r="AR70" s="21">
        <f t="shared" si="185"/>
        <v>2378956.7999999998</v>
      </c>
      <c r="AS70" s="21">
        <f t="shared" si="185"/>
        <v>2775449.6000000001</v>
      </c>
      <c r="AT70" s="21">
        <f t="shared" si="185"/>
        <v>3171942.3999999999</v>
      </c>
      <c r="AU70" s="21">
        <f t="shared" si="185"/>
        <v>3568435.1999999997</v>
      </c>
      <c r="AV70" s="21">
        <f t="shared" si="185"/>
        <v>3964928</v>
      </c>
      <c r="AW70" s="21">
        <f t="shared" si="185"/>
        <v>4757913.5999999996</v>
      </c>
      <c r="AX70" s="21">
        <f t="shared" si="185"/>
        <v>5550899.2000000002</v>
      </c>
      <c r="AY70" s="21">
        <f t="shared" si="185"/>
        <v>6343884.7999999998</v>
      </c>
      <c r="AZ70" s="21">
        <f t="shared" si="185"/>
        <v>7136870.3999999994</v>
      </c>
      <c r="BA70" s="21">
        <f t="shared" si="185"/>
        <v>7929856</v>
      </c>
      <c r="BB70" s="21">
        <f t="shared" si="185"/>
        <v>9515827.1999999993</v>
      </c>
      <c r="BC70" s="21">
        <f t="shared" si="185"/>
        <v>11101798.4</v>
      </c>
      <c r="BD70" s="21">
        <f t="shared" si="185"/>
        <v>12687769.6</v>
      </c>
      <c r="BE70" s="21">
        <f t="shared" si="185"/>
        <v>14273740.799999999</v>
      </c>
      <c r="BF70" s="21">
        <f t="shared" si="185"/>
        <v>15859712</v>
      </c>
      <c r="BG70" s="21">
        <f t="shared" si="185"/>
        <v>19031654.399999999</v>
      </c>
      <c r="BH70" s="21">
        <f t="shared" si="185"/>
        <v>22203596.800000001</v>
      </c>
      <c r="BI70" s="21">
        <f t="shared" si="185"/>
        <v>25375539.199999999</v>
      </c>
      <c r="BJ70" s="21">
        <f t="shared" si="185"/>
        <v>28547481.599999998</v>
      </c>
      <c r="BK70" s="21">
        <f t="shared" si="185"/>
        <v>31719424</v>
      </c>
      <c r="BL70" s="21">
        <f t="shared" si="185"/>
        <v>63438848</v>
      </c>
      <c r="BM70" s="21">
        <f t="shared" si="185"/>
        <v>126877696</v>
      </c>
      <c r="BN70" s="69">
        <f t="shared" si="185"/>
        <v>168450876</v>
      </c>
      <c r="BO70" s="45"/>
    </row>
    <row r="71" spans="1:67" x14ac:dyDescent="0.25">
      <c r="A71" s="41"/>
      <c r="B71" s="6"/>
      <c r="C71" s="10"/>
      <c r="D71" s="8"/>
      <c r="E71" s="27">
        <v>3.5999999999999997E-2</v>
      </c>
      <c r="F71" s="15">
        <v>0.23699999999999999</v>
      </c>
      <c r="G71" s="10"/>
      <c r="H71" s="10"/>
      <c r="I71" s="10"/>
      <c r="J71" s="10"/>
      <c r="K71" s="10"/>
      <c r="L71" s="10"/>
      <c r="M71" s="10"/>
      <c r="N71" s="15"/>
      <c r="O71" s="10"/>
      <c r="P71" s="29">
        <f t="shared" ref="P71:BN71" si="186">P$35*$D$70*$E$71</f>
        <v>0.136125</v>
      </c>
      <c r="Q71" s="30">
        <f t="shared" si="186"/>
        <v>0.27224999999999999</v>
      </c>
      <c r="R71" s="30">
        <f t="shared" si="186"/>
        <v>0.54449999999999998</v>
      </c>
      <c r="S71" s="30">
        <f t="shared" si="186"/>
        <v>1.089</v>
      </c>
      <c r="T71" s="30">
        <f t="shared" si="186"/>
        <v>2.1779999999999999</v>
      </c>
      <c r="U71" s="30">
        <f t="shared" si="186"/>
        <v>4.3559999999999999</v>
      </c>
      <c r="V71" s="30">
        <f t="shared" si="186"/>
        <v>8.7119999999999997</v>
      </c>
      <c r="W71" s="30">
        <f t="shared" si="186"/>
        <v>17.423999999999999</v>
      </c>
      <c r="X71" s="30">
        <f t="shared" si="186"/>
        <v>34.847999999999999</v>
      </c>
      <c r="Y71" s="30">
        <f t="shared" si="186"/>
        <v>69.695999999999998</v>
      </c>
      <c r="Z71" s="30">
        <f t="shared" si="186"/>
        <v>139.392</v>
      </c>
      <c r="AA71" s="30">
        <f t="shared" si="186"/>
        <v>278.78399999999999</v>
      </c>
      <c r="AB71" s="30">
        <f t="shared" si="186"/>
        <v>557.56799999999998</v>
      </c>
      <c r="AC71" s="30">
        <f t="shared" si="186"/>
        <v>1115.136</v>
      </c>
      <c r="AD71" s="30">
        <f t="shared" si="186"/>
        <v>2230.2719999999999</v>
      </c>
      <c r="AE71" s="30">
        <f t="shared" si="186"/>
        <v>4460.5439999999999</v>
      </c>
      <c r="AF71" s="30">
        <f t="shared" si="186"/>
        <v>8921.0879999999997</v>
      </c>
      <c r="AG71" s="30">
        <f t="shared" si="186"/>
        <v>17842.175999999999</v>
      </c>
      <c r="AH71" s="30">
        <f t="shared" si="186"/>
        <v>21410.611199999996</v>
      </c>
      <c r="AI71" s="30">
        <f t="shared" si="186"/>
        <v>24979.046399999999</v>
      </c>
      <c r="AJ71" s="30">
        <f t="shared" si="186"/>
        <v>28547.481599999996</v>
      </c>
      <c r="AK71" s="30">
        <f t="shared" si="186"/>
        <v>32115.916799999995</v>
      </c>
      <c r="AL71" s="30">
        <f t="shared" si="186"/>
        <v>35684.351999999999</v>
      </c>
      <c r="AM71" s="30">
        <f t="shared" si="186"/>
        <v>42821.222399999991</v>
      </c>
      <c r="AN71" s="30">
        <f t="shared" si="186"/>
        <v>49958.092799999999</v>
      </c>
      <c r="AO71" s="30">
        <f t="shared" si="186"/>
        <v>57094.963199999991</v>
      </c>
      <c r="AP71" s="30">
        <f t="shared" si="186"/>
        <v>64231.833599999991</v>
      </c>
      <c r="AQ71" s="30">
        <f t="shared" si="186"/>
        <v>71368.703999999998</v>
      </c>
      <c r="AR71" s="30">
        <f t="shared" si="186"/>
        <v>85642.444799999983</v>
      </c>
      <c r="AS71" s="30">
        <f t="shared" si="186"/>
        <v>99916.185599999997</v>
      </c>
      <c r="AT71" s="30">
        <f t="shared" si="186"/>
        <v>114189.92639999998</v>
      </c>
      <c r="AU71" s="30">
        <f t="shared" si="186"/>
        <v>128463.66719999998</v>
      </c>
      <c r="AV71" s="30">
        <f t="shared" si="186"/>
        <v>142737.408</v>
      </c>
      <c r="AW71" s="30">
        <f t="shared" si="186"/>
        <v>171284.88959999997</v>
      </c>
      <c r="AX71" s="30">
        <f t="shared" si="186"/>
        <v>199832.37119999999</v>
      </c>
      <c r="AY71" s="30">
        <f t="shared" si="186"/>
        <v>228379.85279999996</v>
      </c>
      <c r="AZ71" s="30">
        <f t="shared" si="186"/>
        <v>256927.33439999996</v>
      </c>
      <c r="BA71" s="30">
        <f t="shared" si="186"/>
        <v>285474.81599999999</v>
      </c>
      <c r="BB71" s="30">
        <f t="shared" si="186"/>
        <v>342569.77919999993</v>
      </c>
      <c r="BC71" s="30">
        <f t="shared" si="186"/>
        <v>399664.74239999999</v>
      </c>
      <c r="BD71" s="30">
        <f t="shared" si="186"/>
        <v>456759.70559999993</v>
      </c>
      <c r="BE71" s="30">
        <f t="shared" si="186"/>
        <v>513854.66879999993</v>
      </c>
      <c r="BF71" s="30">
        <f t="shared" si="186"/>
        <v>570949.63199999998</v>
      </c>
      <c r="BG71" s="30">
        <f t="shared" si="186"/>
        <v>685139.55839999986</v>
      </c>
      <c r="BH71" s="30">
        <f t="shared" si="186"/>
        <v>799329.48479999998</v>
      </c>
      <c r="BI71" s="30">
        <f t="shared" si="186"/>
        <v>913519.41119999986</v>
      </c>
      <c r="BJ71" s="30">
        <f t="shared" si="186"/>
        <v>1027709.3375999999</v>
      </c>
      <c r="BK71" s="30">
        <f t="shared" si="186"/>
        <v>1141899.264</v>
      </c>
      <c r="BL71" s="30">
        <f t="shared" si="186"/>
        <v>2283798.5279999999</v>
      </c>
      <c r="BM71" s="30">
        <f t="shared" si="186"/>
        <v>4567597.0559999999</v>
      </c>
      <c r="BN71" s="68">
        <f t="shared" si="186"/>
        <v>6064231.5359999994</v>
      </c>
      <c r="BO71" s="45"/>
    </row>
    <row r="72" spans="1:67" x14ac:dyDescent="0.25">
      <c r="A72" s="41" t="s">
        <v>15</v>
      </c>
      <c r="B72" s="6">
        <f>'Population by Age - Wikipedia'!D14</f>
        <v>7.2853736141516481E-2</v>
      </c>
      <c r="C72" s="10">
        <f t="shared" si="182"/>
        <v>101423765.89182901</v>
      </c>
      <c r="D72" s="23">
        <f>'Infection Rate by Age'!B7</f>
        <v>0.159</v>
      </c>
      <c r="E72" s="17"/>
      <c r="F72" s="10"/>
      <c r="G72" s="10"/>
      <c r="H72" s="10"/>
      <c r="I72" s="10"/>
      <c r="J72" s="10"/>
      <c r="K72" s="10"/>
      <c r="L72" s="10"/>
      <c r="M72" s="10"/>
      <c r="N72" s="10"/>
      <c r="O72" s="10"/>
      <c r="P72" s="20">
        <f t="shared" ref="P72:BN72" si="187">P$35*$D$72</f>
        <v>4.96875</v>
      </c>
      <c r="Q72" s="21">
        <f t="shared" si="187"/>
        <v>9.9375</v>
      </c>
      <c r="R72" s="21">
        <f t="shared" si="187"/>
        <v>19.875</v>
      </c>
      <c r="S72" s="21">
        <f t="shared" si="187"/>
        <v>39.75</v>
      </c>
      <c r="T72" s="21">
        <f t="shared" si="187"/>
        <v>79.5</v>
      </c>
      <c r="U72" s="21">
        <f t="shared" si="187"/>
        <v>159</v>
      </c>
      <c r="V72" s="21">
        <f t="shared" si="187"/>
        <v>318</v>
      </c>
      <c r="W72" s="21">
        <f t="shared" si="187"/>
        <v>636</v>
      </c>
      <c r="X72" s="21">
        <f t="shared" si="187"/>
        <v>1272</v>
      </c>
      <c r="Y72" s="21">
        <f t="shared" si="187"/>
        <v>2544</v>
      </c>
      <c r="Z72" s="21">
        <f t="shared" si="187"/>
        <v>5088</v>
      </c>
      <c r="AA72" s="21">
        <f t="shared" si="187"/>
        <v>10176</v>
      </c>
      <c r="AB72" s="21">
        <f t="shared" si="187"/>
        <v>20352</v>
      </c>
      <c r="AC72" s="21">
        <f t="shared" si="187"/>
        <v>40704</v>
      </c>
      <c r="AD72" s="21">
        <f t="shared" si="187"/>
        <v>81408</v>
      </c>
      <c r="AE72" s="21">
        <f t="shared" si="187"/>
        <v>162816</v>
      </c>
      <c r="AF72" s="21">
        <f t="shared" si="187"/>
        <v>325632</v>
      </c>
      <c r="AG72" s="21">
        <f t="shared" si="187"/>
        <v>651264</v>
      </c>
      <c r="AH72" s="21">
        <f t="shared" si="187"/>
        <v>781516.80000000005</v>
      </c>
      <c r="AI72" s="21">
        <f t="shared" si="187"/>
        <v>911769.59999999998</v>
      </c>
      <c r="AJ72" s="21">
        <f t="shared" si="187"/>
        <v>1042022.4</v>
      </c>
      <c r="AK72" s="21">
        <f t="shared" si="187"/>
        <v>1172275.2</v>
      </c>
      <c r="AL72" s="21">
        <f t="shared" si="187"/>
        <v>1302528</v>
      </c>
      <c r="AM72" s="21">
        <f t="shared" si="187"/>
        <v>1563033.6000000001</v>
      </c>
      <c r="AN72" s="21">
        <f t="shared" si="187"/>
        <v>1823539.2</v>
      </c>
      <c r="AO72" s="21">
        <f t="shared" si="187"/>
        <v>2084044.8</v>
      </c>
      <c r="AP72" s="21">
        <f t="shared" si="187"/>
        <v>2344550.3999999999</v>
      </c>
      <c r="AQ72" s="21">
        <f t="shared" si="187"/>
        <v>2605056</v>
      </c>
      <c r="AR72" s="21">
        <f t="shared" si="187"/>
        <v>3126067.2000000002</v>
      </c>
      <c r="AS72" s="21">
        <f t="shared" si="187"/>
        <v>3647078.3999999999</v>
      </c>
      <c r="AT72" s="21">
        <f t="shared" si="187"/>
        <v>4168089.6000000001</v>
      </c>
      <c r="AU72" s="21">
        <f t="shared" si="187"/>
        <v>4689100.7999999998</v>
      </c>
      <c r="AV72" s="21">
        <f t="shared" si="187"/>
        <v>5210112</v>
      </c>
      <c r="AW72" s="21">
        <f t="shared" si="187"/>
        <v>6252134.4000000004</v>
      </c>
      <c r="AX72" s="21">
        <f t="shared" si="187"/>
        <v>7294156.7999999998</v>
      </c>
      <c r="AY72" s="21">
        <f t="shared" si="187"/>
        <v>8336179.2000000002</v>
      </c>
      <c r="AZ72" s="21">
        <f t="shared" si="187"/>
        <v>9378201.5999999996</v>
      </c>
      <c r="BA72" s="21">
        <f t="shared" si="187"/>
        <v>10420224</v>
      </c>
      <c r="BB72" s="21">
        <f t="shared" si="187"/>
        <v>12504268.800000001</v>
      </c>
      <c r="BC72" s="21">
        <f t="shared" si="187"/>
        <v>14588313.6</v>
      </c>
      <c r="BD72" s="21">
        <f t="shared" si="187"/>
        <v>16672358.4</v>
      </c>
      <c r="BE72" s="21">
        <f t="shared" si="187"/>
        <v>18756403.199999999</v>
      </c>
      <c r="BF72" s="21">
        <f t="shared" si="187"/>
        <v>20840448</v>
      </c>
      <c r="BG72" s="21">
        <f t="shared" si="187"/>
        <v>25008537.600000001</v>
      </c>
      <c r="BH72" s="21">
        <f t="shared" si="187"/>
        <v>29176627.199999999</v>
      </c>
      <c r="BI72" s="21">
        <f t="shared" si="187"/>
        <v>33344716.800000001</v>
      </c>
      <c r="BJ72" s="21">
        <f t="shared" si="187"/>
        <v>37512806.399999999</v>
      </c>
      <c r="BK72" s="21">
        <f t="shared" si="187"/>
        <v>41680896</v>
      </c>
      <c r="BL72" s="21">
        <f t="shared" si="187"/>
        <v>83361792</v>
      </c>
      <c r="BM72" s="21">
        <f t="shared" si="187"/>
        <v>166723584</v>
      </c>
      <c r="BN72" s="69">
        <f t="shared" si="187"/>
        <v>221352804</v>
      </c>
      <c r="BO72" s="45"/>
    </row>
    <row r="73" spans="1:67" x14ac:dyDescent="0.25">
      <c r="A73" s="41"/>
      <c r="B73" s="6"/>
      <c r="C73" s="10"/>
      <c r="D73" s="8"/>
      <c r="E73" s="27">
        <v>1.2999999999999999E-2</v>
      </c>
      <c r="F73" s="15">
        <v>0.28899999999999998</v>
      </c>
      <c r="G73" s="10"/>
      <c r="H73" s="10"/>
      <c r="I73" s="10"/>
      <c r="J73" s="10"/>
      <c r="K73" s="10"/>
      <c r="L73" s="10"/>
      <c r="M73" s="10"/>
      <c r="N73" s="15"/>
      <c r="O73" s="10"/>
      <c r="P73" s="29">
        <f t="shared" ref="P73:BN73" si="188">P$35*$D$72*$E$73</f>
        <v>6.4593749999999991E-2</v>
      </c>
      <c r="Q73" s="30">
        <f t="shared" si="188"/>
        <v>0.12918749999999998</v>
      </c>
      <c r="R73" s="30">
        <f t="shared" si="188"/>
        <v>0.25837499999999997</v>
      </c>
      <c r="S73" s="30">
        <f t="shared" si="188"/>
        <v>0.51674999999999993</v>
      </c>
      <c r="T73" s="30">
        <f t="shared" si="188"/>
        <v>1.0334999999999999</v>
      </c>
      <c r="U73" s="30">
        <f t="shared" si="188"/>
        <v>2.0669999999999997</v>
      </c>
      <c r="V73" s="30">
        <f t="shared" si="188"/>
        <v>4.1339999999999995</v>
      </c>
      <c r="W73" s="30">
        <f t="shared" si="188"/>
        <v>8.2679999999999989</v>
      </c>
      <c r="X73" s="30">
        <f t="shared" si="188"/>
        <v>16.535999999999998</v>
      </c>
      <c r="Y73" s="30">
        <f t="shared" si="188"/>
        <v>33.071999999999996</v>
      </c>
      <c r="Z73" s="30">
        <f t="shared" si="188"/>
        <v>66.143999999999991</v>
      </c>
      <c r="AA73" s="30">
        <f t="shared" si="188"/>
        <v>132.28799999999998</v>
      </c>
      <c r="AB73" s="30">
        <f t="shared" si="188"/>
        <v>264.57599999999996</v>
      </c>
      <c r="AC73" s="30">
        <f t="shared" si="188"/>
        <v>529.15199999999993</v>
      </c>
      <c r="AD73" s="30">
        <f t="shared" si="188"/>
        <v>1058.3039999999999</v>
      </c>
      <c r="AE73" s="30">
        <f t="shared" si="188"/>
        <v>2116.6079999999997</v>
      </c>
      <c r="AF73" s="30">
        <f t="shared" si="188"/>
        <v>4233.2159999999994</v>
      </c>
      <c r="AG73" s="30">
        <f t="shared" si="188"/>
        <v>8466.4319999999989</v>
      </c>
      <c r="AH73" s="30">
        <f t="shared" si="188"/>
        <v>10159.7184</v>
      </c>
      <c r="AI73" s="30">
        <f t="shared" si="188"/>
        <v>11853.004799999999</v>
      </c>
      <c r="AJ73" s="30">
        <f t="shared" si="188"/>
        <v>13546.2912</v>
      </c>
      <c r="AK73" s="30">
        <f t="shared" si="188"/>
        <v>15239.577599999999</v>
      </c>
      <c r="AL73" s="30">
        <f t="shared" si="188"/>
        <v>16932.863999999998</v>
      </c>
      <c r="AM73" s="30">
        <f t="shared" si="188"/>
        <v>20319.436799999999</v>
      </c>
      <c r="AN73" s="30">
        <f t="shared" si="188"/>
        <v>23706.009599999998</v>
      </c>
      <c r="AO73" s="30">
        <f t="shared" si="188"/>
        <v>27092.582399999999</v>
      </c>
      <c r="AP73" s="30">
        <f t="shared" si="188"/>
        <v>30479.155199999997</v>
      </c>
      <c r="AQ73" s="30">
        <f t="shared" si="188"/>
        <v>33865.727999999996</v>
      </c>
      <c r="AR73" s="30">
        <f t="shared" si="188"/>
        <v>40638.873599999999</v>
      </c>
      <c r="AS73" s="30">
        <f t="shared" si="188"/>
        <v>47412.019199999995</v>
      </c>
      <c r="AT73" s="30">
        <f t="shared" si="188"/>
        <v>54185.164799999999</v>
      </c>
      <c r="AU73" s="30">
        <f t="shared" si="188"/>
        <v>60958.310399999995</v>
      </c>
      <c r="AV73" s="30">
        <f t="shared" si="188"/>
        <v>67731.455999999991</v>
      </c>
      <c r="AW73" s="30">
        <f t="shared" si="188"/>
        <v>81277.747199999998</v>
      </c>
      <c r="AX73" s="30">
        <f t="shared" si="188"/>
        <v>94824.03839999999</v>
      </c>
      <c r="AY73" s="30">
        <f t="shared" si="188"/>
        <v>108370.3296</v>
      </c>
      <c r="AZ73" s="30">
        <f t="shared" si="188"/>
        <v>121916.62079999999</v>
      </c>
      <c r="BA73" s="30">
        <f t="shared" si="188"/>
        <v>135462.91199999998</v>
      </c>
      <c r="BB73" s="30">
        <f t="shared" si="188"/>
        <v>162555.4944</v>
      </c>
      <c r="BC73" s="30">
        <f t="shared" si="188"/>
        <v>189648.07679999998</v>
      </c>
      <c r="BD73" s="30">
        <f t="shared" si="188"/>
        <v>216740.65919999999</v>
      </c>
      <c r="BE73" s="30">
        <f t="shared" si="188"/>
        <v>243833.24159999998</v>
      </c>
      <c r="BF73" s="30">
        <f t="shared" si="188"/>
        <v>270925.82399999996</v>
      </c>
      <c r="BG73" s="30">
        <f t="shared" si="188"/>
        <v>325110.98879999999</v>
      </c>
      <c r="BH73" s="30">
        <f t="shared" si="188"/>
        <v>379296.15359999996</v>
      </c>
      <c r="BI73" s="30">
        <f t="shared" si="188"/>
        <v>433481.31839999999</v>
      </c>
      <c r="BJ73" s="30">
        <f t="shared" si="188"/>
        <v>487666.48319999996</v>
      </c>
      <c r="BK73" s="30">
        <f t="shared" si="188"/>
        <v>541851.64799999993</v>
      </c>
      <c r="BL73" s="30">
        <f t="shared" si="188"/>
        <v>1083703.2959999999</v>
      </c>
      <c r="BM73" s="30">
        <f t="shared" si="188"/>
        <v>2167406.5919999997</v>
      </c>
      <c r="BN73" s="68">
        <f t="shared" si="188"/>
        <v>2877586.452</v>
      </c>
      <c r="BO73" s="45"/>
    </row>
    <row r="74" spans="1:67" x14ac:dyDescent="0.25">
      <c r="A74" s="41" t="s">
        <v>16</v>
      </c>
      <c r="B74" s="6">
        <f>'Population by Age - Wikipedia'!D12</f>
        <v>0.11129032093824395</v>
      </c>
      <c r="C74" s="10">
        <f t="shared" si="182"/>
        <v>154933488.03610194</v>
      </c>
      <c r="D74" s="23">
        <f>'Infection Rate by Age'!B8</f>
        <v>0.17100000000000001</v>
      </c>
      <c r="E74" s="17"/>
      <c r="F74" s="10"/>
      <c r="G74" s="10"/>
      <c r="H74" s="10"/>
      <c r="I74" s="10"/>
      <c r="J74" s="10"/>
      <c r="K74" s="10"/>
      <c r="L74" s="10"/>
      <c r="M74" s="10"/>
      <c r="N74" s="10"/>
      <c r="O74" s="10"/>
      <c r="P74" s="20">
        <f t="shared" ref="P74:BN74" si="189">P$35*$D$74</f>
        <v>5.34375</v>
      </c>
      <c r="Q74" s="21">
        <f t="shared" si="189"/>
        <v>10.6875</v>
      </c>
      <c r="R74" s="21">
        <f t="shared" si="189"/>
        <v>21.375</v>
      </c>
      <c r="S74" s="21">
        <f t="shared" si="189"/>
        <v>42.75</v>
      </c>
      <c r="T74" s="21">
        <f t="shared" si="189"/>
        <v>85.5</v>
      </c>
      <c r="U74" s="21">
        <f t="shared" si="189"/>
        <v>171</v>
      </c>
      <c r="V74" s="21">
        <f t="shared" si="189"/>
        <v>342</v>
      </c>
      <c r="W74" s="21">
        <f t="shared" si="189"/>
        <v>684</v>
      </c>
      <c r="X74" s="21">
        <f t="shared" si="189"/>
        <v>1368</v>
      </c>
      <c r="Y74" s="21">
        <f t="shared" si="189"/>
        <v>2736</v>
      </c>
      <c r="Z74" s="21">
        <f t="shared" si="189"/>
        <v>5472</v>
      </c>
      <c r="AA74" s="21">
        <f t="shared" si="189"/>
        <v>10944</v>
      </c>
      <c r="AB74" s="21">
        <f t="shared" si="189"/>
        <v>21888</v>
      </c>
      <c r="AC74" s="21">
        <f t="shared" si="189"/>
        <v>43776</v>
      </c>
      <c r="AD74" s="21">
        <f t="shared" si="189"/>
        <v>87552</v>
      </c>
      <c r="AE74" s="21">
        <f t="shared" si="189"/>
        <v>175104</v>
      </c>
      <c r="AF74" s="21">
        <f t="shared" si="189"/>
        <v>350208</v>
      </c>
      <c r="AG74" s="21">
        <f t="shared" si="189"/>
        <v>700416</v>
      </c>
      <c r="AH74" s="21">
        <f t="shared" si="189"/>
        <v>840499.20000000007</v>
      </c>
      <c r="AI74" s="21">
        <f t="shared" si="189"/>
        <v>980582.40000000002</v>
      </c>
      <c r="AJ74" s="21">
        <f t="shared" si="189"/>
        <v>1120665.6000000001</v>
      </c>
      <c r="AK74" s="21">
        <f t="shared" si="189"/>
        <v>1260748.8</v>
      </c>
      <c r="AL74" s="21">
        <f t="shared" si="189"/>
        <v>1400832</v>
      </c>
      <c r="AM74" s="21">
        <f t="shared" si="189"/>
        <v>1680998.4000000001</v>
      </c>
      <c r="AN74" s="21">
        <f t="shared" si="189"/>
        <v>1961164.8</v>
      </c>
      <c r="AO74" s="21">
        <f t="shared" si="189"/>
        <v>2241331.2000000002</v>
      </c>
      <c r="AP74" s="21">
        <f t="shared" si="189"/>
        <v>2521497.6000000001</v>
      </c>
      <c r="AQ74" s="21">
        <f t="shared" si="189"/>
        <v>2801664</v>
      </c>
      <c r="AR74" s="21">
        <f t="shared" si="189"/>
        <v>3361996.8000000003</v>
      </c>
      <c r="AS74" s="21">
        <f t="shared" si="189"/>
        <v>3922329.6000000001</v>
      </c>
      <c r="AT74" s="21">
        <f t="shared" si="189"/>
        <v>4482662.4000000004</v>
      </c>
      <c r="AU74" s="21">
        <f t="shared" si="189"/>
        <v>5042995.2000000002</v>
      </c>
      <c r="AV74" s="21">
        <f t="shared" si="189"/>
        <v>5603328</v>
      </c>
      <c r="AW74" s="21">
        <f t="shared" si="189"/>
        <v>6723993.6000000006</v>
      </c>
      <c r="AX74" s="21">
        <f t="shared" si="189"/>
        <v>7844659.2000000002</v>
      </c>
      <c r="AY74" s="21">
        <f t="shared" si="189"/>
        <v>8965324.8000000007</v>
      </c>
      <c r="AZ74" s="21">
        <f t="shared" si="189"/>
        <v>10085990.4</v>
      </c>
      <c r="BA74" s="21">
        <f t="shared" si="189"/>
        <v>11206656</v>
      </c>
      <c r="BB74" s="21">
        <f t="shared" si="189"/>
        <v>13447987.200000001</v>
      </c>
      <c r="BC74" s="21">
        <f t="shared" si="189"/>
        <v>15689318.4</v>
      </c>
      <c r="BD74" s="21">
        <f t="shared" si="189"/>
        <v>17930649.600000001</v>
      </c>
      <c r="BE74" s="21">
        <f t="shared" si="189"/>
        <v>20171980.800000001</v>
      </c>
      <c r="BF74" s="21">
        <f t="shared" si="189"/>
        <v>22413312</v>
      </c>
      <c r="BG74" s="21">
        <f t="shared" si="189"/>
        <v>26895974.400000002</v>
      </c>
      <c r="BH74" s="21">
        <f t="shared" si="189"/>
        <v>31378636.800000001</v>
      </c>
      <c r="BI74" s="21">
        <f t="shared" si="189"/>
        <v>35861299.200000003</v>
      </c>
      <c r="BJ74" s="21">
        <f t="shared" si="189"/>
        <v>40343961.600000001</v>
      </c>
      <c r="BK74" s="21">
        <f t="shared" si="189"/>
        <v>44826624</v>
      </c>
      <c r="BL74" s="21">
        <f t="shared" si="189"/>
        <v>89653248</v>
      </c>
      <c r="BM74" s="21">
        <f t="shared" si="189"/>
        <v>179306496</v>
      </c>
      <c r="BN74" s="69">
        <f t="shared" si="189"/>
        <v>238058676.00000003</v>
      </c>
      <c r="BO74" s="45"/>
    </row>
    <row r="75" spans="1:67" x14ac:dyDescent="0.25">
      <c r="A75" s="41"/>
      <c r="B75" s="6"/>
      <c r="C75" s="10"/>
      <c r="D75" s="8"/>
      <c r="E75" s="27">
        <v>4.0000000000000001E-3</v>
      </c>
      <c r="F75" s="15">
        <v>0.21099999999999999</v>
      </c>
      <c r="G75" s="10"/>
      <c r="H75" s="10"/>
      <c r="I75" s="10"/>
      <c r="J75" s="10"/>
      <c r="K75" s="10"/>
      <c r="L75" s="10"/>
      <c r="M75" s="10"/>
      <c r="N75" s="15"/>
      <c r="O75" s="10"/>
      <c r="P75" s="29">
        <f t="shared" ref="P75:BN75" si="190">P$35*$D$74*$E$75</f>
        <v>2.1375000000000002E-2</v>
      </c>
      <c r="Q75" s="30">
        <f t="shared" si="190"/>
        <v>4.2750000000000003E-2</v>
      </c>
      <c r="R75" s="30">
        <f t="shared" si="190"/>
        <v>8.5500000000000007E-2</v>
      </c>
      <c r="S75" s="30">
        <f t="shared" si="190"/>
        <v>0.17100000000000001</v>
      </c>
      <c r="T75" s="30">
        <f t="shared" si="190"/>
        <v>0.34200000000000003</v>
      </c>
      <c r="U75" s="30">
        <f t="shared" si="190"/>
        <v>0.68400000000000005</v>
      </c>
      <c r="V75" s="30">
        <f t="shared" si="190"/>
        <v>1.3680000000000001</v>
      </c>
      <c r="W75" s="30">
        <f t="shared" si="190"/>
        <v>2.7360000000000002</v>
      </c>
      <c r="X75" s="30">
        <f t="shared" si="190"/>
        <v>5.4720000000000004</v>
      </c>
      <c r="Y75" s="30">
        <f t="shared" si="190"/>
        <v>10.944000000000001</v>
      </c>
      <c r="Z75" s="30">
        <f t="shared" si="190"/>
        <v>21.888000000000002</v>
      </c>
      <c r="AA75" s="30">
        <f t="shared" si="190"/>
        <v>43.776000000000003</v>
      </c>
      <c r="AB75" s="30">
        <f t="shared" si="190"/>
        <v>87.552000000000007</v>
      </c>
      <c r="AC75" s="30">
        <f t="shared" si="190"/>
        <v>175.10400000000001</v>
      </c>
      <c r="AD75" s="30">
        <f t="shared" si="190"/>
        <v>350.20800000000003</v>
      </c>
      <c r="AE75" s="30">
        <f t="shared" si="190"/>
        <v>700.41600000000005</v>
      </c>
      <c r="AF75" s="30">
        <f t="shared" si="190"/>
        <v>1400.8320000000001</v>
      </c>
      <c r="AG75" s="30">
        <f t="shared" si="190"/>
        <v>2801.6640000000002</v>
      </c>
      <c r="AH75" s="30">
        <f t="shared" si="190"/>
        <v>3361.9968000000003</v>
      </c>
      <c r="AI75" s="30">
        <f t="shared" si="190"/>
        <v>3922.3296</v>
      </c>
      <c r="AJ75" s="30">
        <f t="shared" si="190"/>
        <v>4482.6624000000002</v>
      </c>
      <c r="AK75" s="30">
        <f t="shared" si="190"/>
        <v>5042.9952000000003</v>
      </c>
      <c r="AL75" s="30">
        <f t="shared" si="190"/>
        <v>5603.3280000000004</v>
      </c>
      <c r="AM75" s="30">
        <f t="shared" si="190"/>
        <v>6723.9936000000007</v>
      </c>
      <c r="AN75" s="30">
        <f t="shared" si="190"/>
        <v>7844.6592000000001</v>
      </c>
      <c r="AO75" s="30">
        <f t="shared" si="190"/>
        <v>8965.3248000000003</v>
      </c>
      <c r="AP75" s="30">
        <f t="shared" si="190"/>
        <v>10085.990400000001</v>
      </c>
      <c r="AQ75" s="30">
        <f t="shared" si="190"/>
        <v>11206.656000000001</v>
      </c>
      <c r="AR75" s="30">
        <f t="shared" si="190"/>
        <v>13447.987200000001</v>
      </c>
      <c r="AS75" s="30">
        <f t="shared" si="190"/>
        <v>15689.3184</v>
      </c>
      <c r="AT75" s="30">
        <f t="shared" si="190"/>
        <v>17930.649600000001</v>
      </c>
      <c r="AU75" s="30">
        <f t="shared" si="190"/>
        <v>20171.980800000001</v>
      </c>
      <c r="AV75" s="30">
        <f t="shared" si="190"/>
        <v>22413.312000000002</v>
      </c>
      <c r="AW75" s="30">
        <f t="shared" si="190"/>
        <v>26895.974400000003</v>
      </c>
      <c r="AX75" s="30">
        <f t="shared" si="190"/>
        <v>31378.6368</v>
      </c>
      <c r="AY75" s="30">
        <f t="shared" si="190"/>
        <v>35861.299200000001</v>
      </c>
      <c r="AZ75" s="30">
        <f t="shared" si="190"/>
        <v>40343.961600000002</v>
      </c>
      <c r="BA75" s="30">
        <f t="shared" si="190"/>
        <v>44826.624000000003</v>
      </c>
      <c r="BB75" s="30">
        <f t="shared" si="190"/>
        <v>53791.948800000006</v>
      </c>
      <c r="BC75" s="30">
        <f t="shared" si="190"/>
        <v>62757.2736</v>
      </c>
      <c r="BD75" s="30">
        <f t="shared" si="190"/>
        <v>71722.598400000003</v>
      </c>
      <c r="BE75" s="30">
        <f t="shared" si="190"/>
        <v>80687.923200000005</v>
      </c>
      <c r="BF75" s="30">
        <f t="shared" si="190"/>
        <v>89653.248000000007</v>
      </c>
      <c r="BG75" s="30">
        <f t="shared" si="190"/>
        <v>107583.89760000001</v>
      </c>
      <c r="BH75" s="30">
        <f t="shared" si="190"/>
        <v>125514.5472</v>
      </c>
      <c r="BI75" s="30">
        <f t="shared" si="190"/>
        <v>143445.19680000001</v>
      </c>
      <c r="BJ75" s="30">
        <f t="shared" si="190"/>
        <v>161375.84640000001</v>
      </c>
      <c r="BK75" s="30">
        <f t="shared" si="190"/>
        <v>179306.49600000001</v>
      </c>
      <c r="BL75" s="30">
        <f t="shared" si="190"/>
        <v>358612.99200000003</v>
      </c>
      <c r="BM75" s="30">
        <f t="shared" si="190"/>
        <v>717225.98400000005</v>
      </c>
      <c r="BN75" s="68">
        <f t="shared" si="190"/>
        <v>952234.70400000014</v>
      </c>
      <c r="BO75" s="45"/>
    </row>
    <row r="76" spans="1:67" x14ac:dyDescent="0.25">
      <c r="A76" s="41" t="s">
        <v>17</v>
      </c>
      <c r="B76" s="6">
        <f>'Population by Age - Wikipedia'!D10</f>
        <v>0.14348178625853722</v>
      </c>
      <c r="C76" s="10">
        <f t="shared" si="182"/>
        <v>199749029.63054013</v>
      </c>
      <c r="D76" s="23">
        <f>'Infection Rate by Age'!B9</f>
        <v>0.219</v>
      </c>
      <c r="E76" s="17"/>
      <c r="F76" s="10"/>
      <c r="G76" s="14"/>
      <c r="H76" s="14"/>
      <c r="I76" s="14"/>
      <c r="J76" s="14"/>
      <c r="K76" s="14"/>
      <c r="L76" s="14"/>
      <c r="M76" s="14"/>
      <c r="N76" s="10"/>
      <c r="O76" s="10"/>
      <c r="P76" s="20">
        <f t="shared" ref="P76:BN76" si="191">P$35*$D$76</f>
        <v>6.84375</v>
      </c>
      <c r="Q76" s="21">
        <f t="shared" si="191"/>
        <v>13.6875</v>
      </c>
      <c r="R76" s="21">
        <f t="shared" si="191"/>
        <v>27.375</v>
      </c>
      <c r="S76" s="21">
        <f t="shared" si="191"/>
        <v>54.75</v>
      </c>
      <c r="T76" s="21">
        <f t="shared" si="191"/>
        <v>109.5</v>
      </c>
      <c r="U76" s="21">
        <f t="shared" si="191"/>
        <v>219</v>
      </c>
      <c r="V76" s="21">
        <f t="shared" si="191"/>
        <v>438</v>
      </c>
      <c r="W76" s="21">
        <f t="shared" si="191"/>
        <v>876</v>
      </c>
      <c r="X76" s="21">
        <f t="shared" si="191"/>
        <v>1752</v>
      </c>
      <c r="Y76" s="21">
        <f t="shared" si="191"/>
        <v>3504</v>
      </c>
      <c r="Z76" s="21">
        <f t="shared" si="191"/>
        <v>7008</v>
      </c>
      <c r="AA76" s="21">
        <f t="shared" si="191"/>
        <v>14016</v>
      </c>
      <c r="AB76" s="21">
        <f t="shared" si="191"/>
        <v>28032</v>
      </c>
      <c r="AC76" s="21">
        <f t="shared" si="191"/>
        <v>56064</v>
      </c>
      <c r="AD76" s="21">
        <f t="shared" si="191"/>
        <v>112128</v>
      </c>
      <c r="AE76" s="21">
        <f t="shared" si="191"/>
        <v>224256</v>
      </c>
      <c r="AF76" s="21">
        <f t="shared" si="191"/>
        <v>448512</v>
      </c>
      <c r="AG76" s="21">
        <f t="shared" si="191"/>
        <v>897024</v>
      </c>
      <c r="AH76" s="21">
        <f t="shared" si="191"/>
        <v>1076428.8</v>
      </c>
      <c r="AI76" s="21">
        <f t="shared" si="191"/>
        <v>1255833.6000000001</v>
      </c>
      <c r="AJ76" s="21">
        <f t="shared" si="191"/>
        <v>1435238.3999999999</v>
      </c>
      <c r="AK76" s="21">
        <f t="shared" si="191"/>
        <v>1614643.2</v>
      </c>
      <c r="AL76" s="21">
        <f t="shared" si="191"/>
        <v>1794048</v>
      </c>
      <c r="AM76" s="21">
        <f t="shared" si="191"/>
        <v>2152857.6000000001</v>
      </c>
      <c r="AN76" s="21">
        <f t="shared" si="191"/>
        <v>2511667.2000000002</v>
      </c>
      <c r="AO76" s="21">
        <f t="shared" si="191"/>
        <v>2870476.7999999998</v>
      </c>
      <c r="AP76" s="21">
        <f t="shared" si="191"/>
        <v>3229286.3999999999</v>
      </c>
      <c r="AQ76" s="21">
        <f t="shared" si="191"/>
        <v>3588096</v>
      </c>
      <c r="AR76" s="21">
        <f t="shared" si="191"/>
        <v>4305715.2000000002</v>
      </c>
      <c r="AS76" s="21">
        <f t="shared" si="191"/>
        <v>5023334.4000000004</v>
      </c>
      <c r="AT76" s="21">
        <f t="shared" si="191"/>
        <v>5740953.5999999996</v>
      </c>
      <c r="AU76" s="21">
        <f t="shared" si="191"/>
        <v>6458572.7999999998</v>
      </c>
      <c r="AV76" s="21">
        <f t="shared" si="191"/>
        <v>7176192</v>
      </c>
      <c r="AW76" s="21">
        <f t="shared" si="191"/>
        <v>8611430.4000000004</v>
      </c>
      <c r="AX76" s="21">
        <f t="shared" si="191"/>
        <v>10046668.800000001</v>
      </c>
      <c r="AY76" s="21">
        <f t="shared" si="191"/>
        <v>11481907.199999999</v>
      </c>
      <c r="AZ76" s="21">
        <f t="shared" si="191"/>
        <v>12917145.6</v>
      </c>
      <c r="BA76" s="21">
        <f t="shared" si="191"/>
        <v>14352384</v>
      </c>
      <c r="BB76" s="21">
        <f t="shared" si="191"/>
        <v>17222860.800000001</v>
      </c>
      <c r="BC76" s="21">
        <f t="shared" si="191"/>
        <v>20093337.600000001</v>
      </c>
      <c r="BD76" s="21">
        <f t="shared" si="191"/>
        <v>22963814.399999999</v>
      </c>
      <c r="BE76" s="21">
        <f t="shared" si="191"/>
        <v>25834291.199999999</v>
      </c>
      <c r="BF76" s="21">
        <f t="shared" si="191"/>
        <v>28704768</v>
      </c>
      <c r="BG76" s="21">
        <f t="shared" si="191"/>
        <v>34445721.600000001</v>
      </c>
      <c r="BH76" s="21">
        <f t="shared" si="191"/>
        <v>40186675.200000003</v>
      </c>
      <c r="BI76" s="21">
        <f t="shared" si="191"/>
        <v>45927628.799999997</v>
      </c>
      <c r="BJ76" s="21">
        <f t="shared" si="191"/>
        <v>51668582.399999999</v>
      </c>
      <c r="BK76" s="21">
        <f t="shared" si="191"/>
        <v>57409536</v>
      </c>
      <c r="BL76" s="21">
        <f t="shared" si="191"/>
        <v>114819072</v>
      </c>
      <c r="BM76" s="21">
        <f t="shared" si="191"/>
        <v>229638144</v>
      </c>
      <c r="BN76" s="69">
        <f t="shared" si="191"/>
        <v>304882164</v>
      </c>
      <c r="BO76" s="45"/>
    </row>
    <row r="77" spans="1:67" x14ac:dyDescent="0.25">
      <c r="A77" s="41"/>
      <c r="B77" s="6"/>
      <c r="C77" s="10"/>
      <c r="D77" s="8"/>
      <c r="E77" s="27">
        <v>2E-3</v>
      </c>
      <c r="F77" s="15">
        <v>2.5999999999999999E-2</v>
      </c>
      <c r="G77" s="10"/>
      <c r="H77" s="10"/>
      <c r="I77" s="10"/>
      <c r="J77" s="10"/>
      <c r="K77" s="10"/>
      <c r="L77" s="10"/>
      <c r="M77" s="10"/>
      <c r="N77" s="15"/>
      <c r="O77" s="10"/>
      <c r="P77" s="29">
        <f t="shared" ref="P77:BN77" si="192">P$35*$D$76*$E$77</f>
        <v>1.36875E-2</v>
      </c>
      <c r="Q77" s="30">
        <f t="shared" si="192"/>
        <v>2.7375E-2</v>
      </c>
      <c r="R77" s="30">
        <f t="shared" si="192"/>
        <v>5.475E-2</v>
      </c>
      <c r="S77" s="30">
        <f t="shared" si="192"/>
        <v>0.1095</v>
      </c>
      <c r="T77" s="30">
        <f t="shared" si="192"/>
        <v>0.219</v>
      </c>
      <c r="U77" s="30">
        <f t="shared" si="192"/>
        <v>0.438</v>
      </c>
      <c r="V77" s="30">
        <f t="shared" si="192"/>
        <v>0.876</v>
      </c>
      <c r="W77" s="30">
        <f t="shared" si="192"/>
        <v>1.752</v>
      </c>
      <c r="X77" s="30">
        <f t="shared" si="192"/>
        <v>3.504</v>
      </c>
      <c r="Y77" s="30">
        <f t="shared" si="192"/>
        <v>7.008</v>
      </c>
      <c r="Z77" s="30">
        <f t="shared" si="192"/>
        <v>14.016</v>
      </c>
      <c r="AA77" s="30">
        <f t="shared" si="192"/>
        <v>28.032</v>
      </c>
      <c r="AB77" s="30">
        <f t="shared" si="192"/>
        <v>56.064</v>
      </c>
      <c r="AC77" s="30">
        <f t="shared" si="192"/>
        <v>112.128</v>
      </c>
      <c r="AD77" s="30">
        <f t="shared" si="192"/>
        <v>224.256</v>
      </c>
      <c r="AE77" s="30">
        <f t="shared" si="192"/>
        <v>448.512</v>
      </c>
      <c r="AF77" s="30">
        <f t="shared" si="192"/>
        <v>897.024</v>
      </c>
      <c r="AG77" s="30">
        <f t="shared" si="192"/>
        <v>1794.048</v>
      </c>
      <c r="AH77" s="30">
        <f t="shared" si="192"/>
        <v>2152.8576000000003</v>
      </c>
      <c r="AI77" s="30">
        <f t="shared" si="192"/>
        <v>2511.6672000000003</v>
      </c>
      <c r="AJ77" s="30">
        <f t="shared" si="192"/>
        <v>2870.4767999999999</v>
      </c>
      <c r="AK77" s="30">
        <f t="shared" si="192"/>
        <v>3229.2864</v>
      </c>
      <c r="AL77" s="30">
        <f t="shared" si="192"/>
        <v>3588.096</v>
      </c>
      <c r="AM77" s="30">
        <f t="shared" si="192"/>
        <v>4305.7152000000006</v>
      </c>
      <c r="AN77" s="30">
        <f t="shared" si="192"/>
        <v>5023.3344000000006</v>
      </c>
      <c r="AO77" s="30">
        <f t="shared" si="192"/>
        <v>5740.9535999999998</v>
      </c>
      <c r="AP77" s="30">
        <f t="shared" si="192"/>
        <v>6458.5727999999999</v>
      </c>
      <c r="AQ77" s="30">
        <f t="shared" si="192"/>
        <v>7176.192</v>
      </c>
      <c r="AR77" s="30">
        <f t="shared" si="192"/>
        <v>8611.4304000000011</v>
      </c>
      <c r="AS77" s="30">
        <f t="shared" si="192"/>
        <v>10046.668800000001</v>
      </c>
      <c r="AT77" s="30">
        <f t="shared" si="192"/>
        <v>11481.9072</v>
      </c>
      <c r="AU77" s="30">
        <f t="shared" si="192"/>
        <v>12917.1456</v>
      </c>
      <c r="AV77" s="30">
        <f t="shared" si="192"/>
        <v>14352.384</v>
      </c>
      <c r="AW77" s="30">
        <f t="shared" si="192"/>
        <v>17222.860800000002</v>
      </c>
      <c r="AX77" s="30">
        <f t="shared" si="192"/>
        <v>20093.337600000003</v>
      </c>
      <c r="AY77" s="30">
        <f t="shared" si="192"/>
        <v>22963.814399999999</v>
      </c>
      <c r="AZ77" s="30">
        <f t="shared" si="192"/>
        <v>25834.2912</v>
      </c>
      <c r="BA77" s="30">
        <f t="shared" si="192"/>
        <v>28704.768</v>
      </c>
      <c r="BB77" s="30">
        <f t="shared" si="192"/>
        <v>34445.721600000004</v>
      </c>
      <c r="BC77" s="30">
        <f t="shared" si="192"/>
        <v>40186.675200000005</v>
      </c>
      <c r="BD77" s="30">
        <f t="shared" si="192"/>
        <v>45927.628799999999</v>
      </c>
      <c r="BE77" s="30">
        <f t="shared" si="192"/>
        <v>51668.582399999999</v>
      </c>
      <c r="BF77" s="30">
        <f t="shared" si="192"/>
        <v>57409.536</v>
      </c>
      <c r="BG77" s="30">
        <f t="shared" si="192"/>
        <v>68891.443200000009</v>
      </c>
      <c r="BH77" s="30">
        <f t="shared" si="192"/>
        <v>80373.35040000001</v>
      </c>
      <c r="BI77" s="30">
        <f t="shared" si="192"/>
        <v>91855.257599999997</v>
      </c>
      <c r="BJ77" s="30">
        <f t="shared" si="192"/>
        <v>103337.1648</v>
      </c>
      <c r="BK77" s="30">
        <f t="shared" si="192"/>
        <v>114819.072</v>
      </c>
      <c r="BL77" s="30">
        <f t="shared" si="192"/>
        <v>229638.144</v>
      </c>
      <c r="BM77" s="30">
        <f t="shared" si="192"/>
        <v>459276.288</v>
      </c>
      <c r="BN77" s="68">
        <f t="shared" si="192"/>
        <v>609764.32799999998</v>
      </c>
      <c r="BO77" s="45"/>
    </row>
    <row r="78" spans="1:67" x14ac:dyDescent="0.25">
      <c r="A78" s="41" t="s">
        <v>18</v>
      </c>
      <c r="B78" s="6">
        <f>'Population by Age - Wikipedia'!D8</f>
        <v>0.17577512670206416</v>
      </c>
      <c r="C78" s="10">
        <f t="shared" si="182"/>
        <v>244706397.28903884</v>
      </c>
      <c r="D78" s="23">
        <f>'Infection Rate by Age'!B10</f>
        <v>0.23200000000000001</v>
      </c>
      <c r="E78" s="17"/>
      <c r="F78" s="10"/>
      <c r="G78" s="10"/>
      <c r="H78" s="10"/>
      <c r="I78" s="10"/>
      <c r="J78" s="10"/>
      <c r="K78" s="10"/>
      <c r="L78" s="10"/>
      <c r="M78" s="10"/>
      <c r="N78" s="10"/>
      <c r="O78" s="10"/>
      <c r="P78" s="20">
        <f t="shared" ref="P78:BN78" si="193">P$35*$D$78</f>
        <v>7.25</v>
      </c>
      <c r="Q78" s="21">
        <f t="shared" si="193"/>
        <v>14.5</v>
      </c>
      <c r="R78" s="21">
        <f t="shared" si="193"/>
        <v>29</v>
      </c>
      <c r="S78" s="21">
        <f t="shared" si="193"/>
        <v>58</v>
      </c>
      <c r="T78" s="21">
        <f t="shared" si="193"/>
        <v>116</v>
      </c>
      <c r="U78" s="21">
        <f t="shared" si="193"/>
        <v>232</v>
      </c>
      <c r="V78" s="21">
        <f t="shared" si="193"/>
        <v>464</v>
      </c>
      <c r="W78" s="21">
        <f t="shared" si="193"/>
        <v>928</v>
      </c>
      <c r="X78" s="21">
        <f t="shared" si="193"/>
        <v>1856</v>
      </c>
      <c r="Y78" s="21">
        <f t="shared" si="193"/>
        <v>3712</v>
      </c>
      <c r="Z78" s="21">
        <f t="shared" si="193"/>
        <v>7424</v>
      </c>
      <c r="AA78" s="21">
        <f t="shared" si="193"/>
        <v>14848</v>
      </c>
      <c r="AB78" s="21">
        <f t="shared" si="193"/>
        <v>29696</v>
      </c>
      <c r="AC78" s="21">
        <f t="shared" si="193"/>
        <v>59392</v>
      </c>
      <c r="AD78" s="21">
        <f t="shared" si="193"/>
        <v>118784</v>
      </c>
      <c r="AE78" s="21">
        <f t="shared" si="193"/>
        <v>237568</v>
      </c>
      <c r="AF78" s="21">
        <f t="shared" si="193"/>
        <v>475136</v>
      </c>
      <c r="AG78" s="21">
        <f t="shared" si="193"/>
        <v>950272</v>
      </c>
      <c r="AH78" s="21">
        <f t="shared" si="193"/>
        <v>1140326.4000000001</v>
      </c>
      <c r="AI78" s="21">
        <f t="shared" si="193"/>
        <v>1330380.8</v>
      </c>
      <c r="AJ78" s="21">
        <f t="shared" si="193"/>
        <v>1520435.2000000002</v>
      </c>
      <c r="AK78" s="21">
        <f t="shared" si="193"/>
        <v>1710489.6000000001</v>
      </c>
      <c r="AL78" s="21">
        <f t="shared" si="193"/>
        <v>1900544</v>
      </c>
      <c r="AM78" s="21">
        <f t="shared" si="193"/>
        <v>2280652.8000000003</v>
      </c>
      <c r="AN78" s="21">
        <f t="shared" si="193"/>
        <v>2660761.6000000001</v>
      </c>
      <c r="AO78" s="21">
        <f t="shared" si="193"/>
        <v>3040870.4000000004</v>
      </c>
      <c r="AP78" s="21">
        <f t="shared" si="193"/>
        <v>3420979.2000000002</v>
      </c>
      <c r="AQ78" s="21">
        <f t="shared" si="193"/>
        <v>3801088</v>
      </c>
      <c r="AR78" s="21">
        <f t="shared" si="193"/>
        <v>4561305.6000000006</v>
      </c>
      <c r="AS78" s="21">
        <f t="shared" si="193"/>
        <v>5321523.2000000002</v>
      </c>
      <c r="AT78" s="21">
        <f t="shared" si="193"/>
        <v>6081740.8000000007</v>
      </c>
      <c r="AU78" s="21">
        <f t="shared" si="193"/>
        <v>6841958.4000000004</v>
      </c>
      <c r="AV78" s="21">
        <f t="shared" si="193"/>
        <v>7602176</v>
      </c>
      <c r="AW78" s="21">
        <f t="shared" si="193"/>
        <v>9122611.2000000011</v>
      </c>
      <c r="AX78" s="21">
        <f t="shared" si="193"/>
        <v>10643046.4</v>
      </c>
      <c r="AY78" s="21">
        <f t="shared" si="193"/>
        <v>12163481.600000001</v>
      </c>
      <c r="AZ78" s="21">
        <f t="shared" si="193"/>
        <v>13683916.800000001</v>
      </c>
      <c r="BA78" s="21">
        <f t="shared" si="193"/>
        <v>15204352</v>
      </c>
      <c r="BB78" s="21">
        <f t="shared" si="193"/>
        <v>18245222.400000002</v>
      </c>
      <c r="BC78" s="21">
        <f t="shared" si="193"/>
        <v>21286092.800000001</v>
      </c>
      <c r="BD78" s="21">
        <f t="shared" si="193"/>
        <v>24326963.200000003</v>
      </c>
      <c r="BE78" s="21">
        <f t="shared" si="193"/>
        <v>27367833.600000001</v>
      </c>
      <c r="BF78" s="21">
        <f t="shared" si="193"/>
        <v>30408704</v>
      </c>
      <c r="BG78" s="21">
        <f t="shared" si="193"/>
        <v>36490444.800000004</v>
      </c>
      <c r="BH78" s="21">
        <f t="shared" si="193"/>
        <v>42572185.600000001</v>
      </c>
      <c r="BI78" s="21">
        <f t="shared" si="193"/>
        <v>48653926.400000006</v>
      </c>
      <c r="BJ78" s="21">
        <f t="shared" si="193"/>
        <v>54735667.200000003</v>
      </c>
      <c r="BK78" s="21">
        <f t="shared" si="193"/>
        <v>60817408</v>
      </c>
      <c r="BL78" s="21">
        <f t="shared" si="193"/>
        <v>121634816</v>
      </c>
      <c r="BM78" s="21">
        <f t="shared" si="193"/>
        <v>243269632</v>
      </c>
      <c r="BN78" s="69">
        <f t="shared" si="193"/>
        <v>322980192</v>
      </c>
      <c r="BO78" s="45"/>
    </row>
    <row r="79" spans="1:67" x14ac:dyDescent="0.25">
      <c r="A79" s="41"/>
      <c r="B79" s="6"/>
      <c r="C79" s="10"/>
      <c r="D79" s="8"/>
      <c r="E79" s="27">
        <v>2E-3</v>
      </c>
      <c r="F79" s="15">
        <v>2.5999999999999999E-2</v>
      </c>
      <c r="G79" s="10"/>
      <c r="H79" s="10"/>
      <c r="I79" s="10"/>
      <c r="J79" s="10"/>
      <c r="K79" s="10"/>
      <c r="L79" s="10"/>
      <c r="M79" s="10"/>
      <c r="N79" s="15"/>
      <c r="O79" s="10"/>
      <c r="P79" s="29">
        <f t="shared" ref="P79:BN79" si="194">P$35*$D$78*$E$79</f>
        <v>1.4500000000000001E-2</v>
      </c>
      <c r="Q79" s="30">
        <f t="shared" si="194"/>
        <v>2.9000000000000001E-2</v>
      </c>
      <c r="R79" s="30">
        <f t="shared" si="194"/>
        <v>5.8000000000000003E-2</v>
      </c>
      <c r="S79" s="30">
        <f t="shared" si="194"/>
        <v>0.11600000000000001</v>
      </c>
      <c r="T79" s="30">
        <f t="shared" si="194"/>
        <v>0.23200000000000001</v>
      </c>
      <c r="U79" s="30">
        <f t="shared" si="194"/>
        <v>0.46400000000000002</v>
      </c>
      <c r="V79" s="30">
        <f t="shared" si="194"/>
        <v>0.92800000000000005</v>
      </c>
      <c r="W79" s="30">
        <f t="shared" si="194"/>
        <v>1.8560000000000001</v>
      </c>
      <c r="X79" s="30">
        <f t="shared" si="194"/>
        <v>3.7120000000000002</v>
      </c>
      <c r="Y79" s="30">
        <f t="shared" si="194"/>
        <v>7.4240000000000004</v>
      </c>
      <c r="Z79" s="30">
        <f t="shared" si="194"/>
        <v>14.848000000000001</v>
      </c>
      <c r="AA79" s="30">
        <f t="shared" si="194"/>
        <v>29.696000000000002</v>
      </c>
      <c r="AB79" s="30">
        <f t="shared" si="194"/>
        <v>59.392000000000003</v>
      </c>
      <c r="AC79" s="30">
        <f t="shared" si="194"/>
        <v>118.78400000000001</v>
      </c>
      <c r="AD79" s="30">
        <f t="shared" si="194"/>
        <v>237.56800000000001</v>
      </c>
      <c r="AE79" s="30">
        <f t="shared" si="194"/>
        <v>475.13600000000002</v>
      </c>
      <c r="AF79" s="30">
        <f t="shared" si="194"/>
        <v>950.27200000000005</v>
      </c>
      <c r="AG79" s="30">
        <f t="shared" si="194"/>
        <v>1900.5440000000001</v>
      </c>
      <c r="AH79" s="30">
        <f t="shared" si="194"/>
        <v>2280.6528000000003</v>
      </c>
      <c r="AI79" s="30">
        <f t="shared" si="194"/>
        <v>2660.7616000000003</v>
      </c>
      <c r="AJ79" s="30">
        <f t="shared" si="194"/>
        <v>3040.8704000000002</v>
      </c>
      <c r="AK79" s="30">
        <f t="shared" si="194"/>
        <v>3420.9792000000002</v>
      </c>
      <c r="AL79" s="30">
        <f t="shared" si="194"/>
        <v>3801.0880000000002</v>
      </c>
      <c r="AM79" s="30">
        <f t="shared" si="194"/>
        <v>4561.3056000000006</v>
      </c>
      <c r="AN79" s="30">
        <f t="shared" si="194"/>
        <v>5321.5232000000005</v>
      </c>
      <c r="AO79" s="30">
        <f t="shared" si="194"/>
        <v>6081.7408000000005</v>
      </c>
      <c r="AP79" s="30">
        <f t="shared" si="194"/>
        <v>6841.9584000000004</v>
      </c>
      <c r="AQ79" s="30">
        <f t="shared" si="194"/>
        <v>7602.1760000000004</v>
      </c>
      <c r="AR79" s="30">
        <f t="shared" si="194"/>
        <v>9122.6112000000012</v>
      </c>
      <c r="AS79" s="30">
        <f t="shared" si="194"/>
        <v>10643.046400000001</v>
      </c>
      <c r="AT79" s="30">
        <f t="shared" si="194"/>
        <v>12163.481600000001</v>
      </c>
      <c r="AU79" s="30">
        <f t="shared" si="194"/>
        <v>13683.916800000001</v>
      </c>
      <c r="AV79" s="30">
        <f t="shared" si="194"/>
        <v>15204.352000000001</v>
      </c>
      <c r="AW79" s="30">
        <f t="shared" si="194"/>
        <v>18245.222400000002</v>
      </c>
      <c r="AX79" s="30">
        <f t="shared" si="194"/>
        <v>21286.092800000002</v>
      </c>
      <c r="AY79" s="30">
        <f t="shared" si="194"/>
        <v>24326.963200000002</v>
      </c>
      <c r="AZ79" s="30">
        <f t="shared" si="194"/>
        <v>27367.833600000002</v>
      </c>
      <c r="BA79" s="30">
        <f t="shared" si="194"/>
        <v>30408.704000000002</v>
      </c>
      <c r="BB79" s="30">
        <f t="shared" si="194"/>
        <v>36490.444800000005</v>
      </c>
      <c r="BC79" s="30">
        <f t="shared" si="194"/>
        <v>42572.185600000004</v>
      </c>
      <c r="BD79" s="30">
        <f t="shared" si="194"/>
        <v>48653.926400000004</v>
      </c>
      <c r="BE79" s="30">
        <f t="shared" si="194"/>
        <v>54735.667200000004</v>
      </c>
      <c r="BF79" s="30">
        <f t="shared" si="194"/>
        <v>60817.408000000003</v>
      </c>
      <c r="BG79" s="30">
        <f t="shared" si="194"/>
        <v>72980.88960000001</v>
      </c>
      <c r="BH79" s="30">
        <f t="shared" si="194"/>
        <v>85144.371200000009</v>
      </c>
      <c r="BI79" s="30">
        <f t="shared" si="194"/>
        <v>97307.852800000008</v>
      </c>
      <c r="BJ79" s="30">
        <f t="shared" si="194"/>
        <v>109471.33440000001</v>
      </c>
      <c r="BK79" s="30">
        <f t="shared" si="194"/>
        <v>121634.81600000001</v>
      </c>
      <c r="BL79" s="30">
        <f t="shared" si="194"/>
        <v>243269.63200000001</v>
      </c>
      <c r="BM79" s="30">
        <f t="shared" si="194"/>
        <v>486539.26400000002</v>
      </c>
      <c r="BN79" s="68">
        <f t="shared" si="194"/>
        <v>645960.38399999996</v>
      </c>
      <c r="BO79" s="45"/>
    </row>
    <row r="80" spans="1:67" x14ac:dyDescent="0.25">
      <c r="A80" s="42" t="s">
        <v>19</v>
      </c>
      <c r="B80" s="6">
        <f>'Population by Age - Wikipedia'!D6</f>
        <v>0.20913789496692137</v>
      </c>
      <c r="C80" s="10">
        <f t="shared" si="182"/>
        <v>291152575.30556941</v>
      </c>
      <c r="D80" s="23">
        <f>'Infection Rate by Age'!B11</f>
        <v>3.7999999999999999E-2</v>
      </c>
      <c r="E80" s="17"/>
      <c r="F80" s="10"/>
      <c r="G80" s="10"/>
      <c r="H80" s="10"/>
      <c r="I80" s="10"/>
      <c r="J80" s="10"/>
      <c r="K80" s="10"/>
      <c r="L80" s="10"/>
      <c r="M80" s="10"/>
      <c r="N80" s="10"/>
      <c r="O80" s="10"/>
      <c r="P80" s="20">
        <f t="shared" ref="P80:BN80" si="195">P$35*$D$80</f>
        <v>1.1875</v>
      </c>
      <c r="Q80" s="21">
        <f t="shared" si="195"/>
        <v>2.375</v>
      </c>
      <c r="R80" s="21">
        <f t="shared" si="195"/>
        <v>4.75</v>
      </c>
      <c r="S80" s="21">
        <f t="shared" si="195"/>
        <v>9.5</v>
      </c>
      <c r="T80" s="21">
        <f t="shared" si="195"/>
        <v>19</v>
      </c>
      <c r="U80" s="21">
        <f t="shared" si="195"/>
        <v>38</v>
      </c>
      <c r="V80" s="21">
        <f t="shared" si="195"/>
        <v>76</v>
      </c>
      <c r="W80" s="21">
        <f t="shared" si="195"/>
        <v>152</v>
      </c>
      <c r="X80" s="21">
        <f t="shared" si="195"/>
        <v>304</v>
      </c>
      <c r="Y80" s="21">
        <f t="shared" si="195"/>
        <v>608</v>
      </c>
      <c r="Z80" s="21">
        <f t="shared" si="195"/>
        <v>1216</v>
      </c>
      <c r="AA80" s="21">
        <f t="shared" si="195"/>
        <v>2432</v>
      </c>
      <c r="AB80" s="21">
        <f t="shared" si="195"/>
        <v>4864</v>
      </c>
      <c r="AC80" s="21">
        <f t="shared" si="195"/>
        <v>9728</v>
      </c>
      <c r="AD80" s="21">
        <f t="shared" si="195"/>
        <v>19456</v>
      </c>
      <c r="AE80" s="21">
        <f t="shared" si="195"/>
        <v>38912</v>
      </c>
      <c r="AF80" s="21">
        <f t="shared" si="195"/>
        <v>77824</v>
      </c>
      <c r="AG80" s="21">
        <f t="shared" si="195"/>
        <v>155648</v>
      </c>
      <c r="AH80" s="21">
        <f t="shared" si="195"/>
        <v>186777.60000000001</v>
      </c>
      <c r="AI80" s="21">
        <f t="shared" si="195"/>
        <v>217907.19999999998</v>
      </c>
      <c r="AJ80" s="21">
        <f t="shared" si="195"/>
        <v>249036.79999999999</v>
      </c>
      <c r="AK80" s="21">
        <f t="shared" si="195"/>
        <v>280166.39999999997</v>
      </c>
      <c r="AL80" s="21">
        <f t="shared" si="195"/>
        <v>311296</v>
      </c>
      <c r="AM80" s="21">
        <f t="shared" si="195"/>
        <v>373555.20000000001</v>
      </c>
      <c r="AN80" s="21">
        <f t="shared" si="195"/>
        <v>435814.39999999997</v>
      </c>
      <c r="AO80" s="21">
        <f t="shared" si="195"/>
        <v>498073.59999999998</v>
      </c>
      <c r="AP80" s="21">
        <f t="shared" si="195"/>
        <v>560332.79999999993</v>
      </c>
      <c r="AQ80" s="21">
        <f t="shared" si="195"/>
        <v>622592</v>
      </c>
      <c r="AR80" s="21">
        <f t="shared" si="195"/>
        <v>747110.40000000002</v>
      </c>
      <c r="AS80" s="21">
        <f t="shared" si="195"/>
        <v>871628.79999999993</v>
      </c>
      <c r="AT80" s="21">
        <f t="shared" si="195"/>
        <v>996147.19999999995</v>
      </c>
      <c r="AU80" s="21">
        <f t="shared" si="195"/>
        <v>1120665.5999999999</v>
      </c>
      <c r="AV80" s="21">
        <f t="shared" si="195"/>
        <v>1245184</v>
      </c>
      <c r="AW80" s="21">
        <f t="shared" si="195"/>
        <v>1494220.8</v>
      </c>
      <c r="AX80" s="21">
        <f t="shared" si="195"/>
        <v>1743257.5999999999</v>
      </c>
      <c r="AY80" s="21">
        <f t="shared" si="195"/>
        <v>1992294.3999999999</v>
      </c>
      <c r="AZ80" s="21">
        <f t="shared" si="195"/>
        <v>2241331.1999999997</v>
      </c>
      <c r="BA80" s="21">
        <f t="shared" si="195"/>
        <v>2490368</v>
      </c>
      <c r="BB80" s="21">
        <f t="shared" si="195"/>
        <v>2988441.6000000001</v>
      </c>
      <c r="BC80" s="21">
        <f t="shared" si="195"/>
        <v>3486515.1999999997</v>
      </c>
      <c r="BD80" s="21">
        <f t="shared" si="195"/>
        <v>3984588.7999999998</v>
      </c>
      <c r="BE80" s="21">
        <f t="shared" si="195"/>
        <v>4482662.3999999994</v>
      </c>
      <c r="BF80" s="21">
        <f t="shared" si="195"/>
        <v>4980736</v>
      </c>
      <c r="BG80" s="21">
        <f t="shared" si="195"/>
        <v>5976883.2000000002</v>
      </c>
      <c r="BH80" s="21">
        <f t="shared" si="195"/>
        <v>6973030.3999999994</v>
      </c>
      <c r="BI80" s="21">
        <f t="shared" si="195"/>
        <v>7969177.5999999996</v>
      </c>
      <c r="BJ80" s="21">
        <f t="shared" si="195"/>
        <v>8965324.7999999989</v>
      </c>
      <c r="BK80" s="21">
        <f t="shared" si="195"/>
        <v>9961472</v>
      </c>
      <c r="BL80" s="21">
        <f t="shared" si="195"/>
        <v>19922944</v>
      </c>
      <c r="BM80" s="21">
        <f t="shared" si="195"/>
        <v>39845888</v>
      </c>
      <c r="BN80" s="69">
        <f t="shared" si="195"/>
        <v>52901928</v>
      </c>
      <c r="BO80" s="45"/>
    </row>
    <row r="81" spans="1:67" x14ac:dyDescent="0.25">
      <c r="A81" s="42"/>
      <c r="B81" s="6"/>
      <c r="C81" s="10"/>
      <c r="D81" s="8"/>
      <c r="E81" s="27">
        <v>2E-3</v>
      </c>
      <c r="F81" s="15"/>
      <c r="G81" s="10"/>
      <c r="H81" s="10"/>
      <c r="I81" s="10"/>
      <c r="J81" s="10"/>
      <c r="K81" s="10"/>
      <c r="L81" s="10"/>
      <c r="M81" s="10"/>
      <c r="N81" s="15"/>
      <c r="O81" s="10"/>
      <c r="P81" s="29">
        <f t="shared" ref="P81:BN81" si="196">P$35*$D$80*$E$81</f>
        <v>2.3749999999999999E-3</v>
      </c>
      <c r="Q81" s="30">
        <f t="shared" si="196"/>
        <v>4.7499999999999999E-3</v>
      </c>
      <c r="R81" s="30">
        <f t="shared" si="196"/>
        <v>9.4999999999999998E-3</v>
      </c>
      <c r="S81" s="30">
        <f t="shared" si="196"/>
        <v>1.9E-2</v>
      </c>
      <c r="T81" s="30">
        <f t="shared" si="196"/>
        <v>3.7999999999999999E-2</v>
      </c>
      <c r="U81" s="30">
        <f t="shared" si="196"/>
        <v>7.5999999999999998E-2</v>
      </c>
      <c r="V81" s="30">
        <f t="shared" si="196"/>
        <v>0.152</v>
      </c>
      <c r="W81" s="30">
        <f t="shared" si="196"/>
        <v>0.30399999999999999</v>
      </c>
      <c r="X81" s="30">
        <f t="shared" si="196"/>
        <v>0.60799999999999998</v>
      </c>
      <c r="Y81" s="30">
        <f t="shared" si="196"/>
        <v>1.216</v>
      </c>
      <c r="Z81" s="30">
        <f t="shared" si="196"/>
        <v>2.4319999999999999</v>
      </c>
      <c r="AA81" s="30">
        <f t="shared" si="196"/>
        <v>4.8639999999999999</v>
      </c>
      <c r="AB81" s="30">
        <f t="shared" si="196"/>
        <v>9.7279999999999998</v>
      </c>
      <c r="AC81" s="30">
        <f t="shared" si="196"/>
        <v>19.456</v>
      </c>
      <c r="AD81" s="30">
        <f t="shared" si="196"/>
        <v>38.911999999999999</v>
      </c>
      <c r="AE81" s="30">
        <f t="shared" si="196"/>
        <v>77.823999999999998</v>
      </c>
      <c r="AF81" s="30">
        <f t="shared" si="196"/>
        <v>155.648</v>
      </c>
      <c r="AG81" s="30">
        <f t="shared" si="196"/>
        <v>311.29599999999999</v>
      </c>
      <c r="AH81" s="30">
        <f t="shared" si="196"/>
        <v>373.55520000000001</v>
      </c>
      <c r="AI81" s="30">
        <f t="shared" si="196"/>
        <v>435.81439999999998</v>
      </c>
      <c r="AJ81" s="30">
        <f t="shared" si="196"/>
        <v>498.0736</v>
      </c>
      <c r="AK81" s="30">
        <f t="shared" si="196"/>
        <v>560.33279999999991</v>
      </c>
      <c r="AL81" s="30">
        <f t="shared" si="196"/>
        <v>622.59199999999998</v>
      </c>
      <c r="AM81" s="30">
        <f t="shared" si="196"/>
        <v>747.11040000000003</v>
      </c>
      <c r="AN81" s="30">
        <f t="shared" si="196"/>
        <v>871.62879999999996</v>
      </c>
      <c r="AO81" s="30">
        <f t="shared" si="196"/>
        <v>996.1472</v>
      </c>
      <c r="AP81" s="30">
        <f t="shared" si="196"/>
        <v>1120.6655999999998</v>
      </c>
      <c r="AQ81" s="30">
        <f t="shared" si="196"/>
        <v>1245.184</v>
      </c>
      <c r="AR81" s="30">
        <f t="shared" si="196"/>
        <v>1494.2208000000001</v>
      </c>
      <c r="AS81" s="30">
        <f t="shared" si="196"/>
        <v>1743.2575999999999</v>
      </c>
      <c r="AT81" s="30">
        <f t="shared" si="196"/>
        <v>1992.2944</v>
      </c>
      <c r="AU81" s="30">
        <f t="shared" si="196"/>
        <v>2241.3311999999996</v>
      </c>
      <c r="AV81" s="30">
        <f t="shared" si="196"/>
        <v>2490.3679999999999</v>
      </c>
      <c r="AW81" s="30">
        <f t="shared" si="196"/>
        <v>2988.4416000000001</v>
      </c>
      <c r="AX81" s="30">
        <f t="shared" si="196"/>
        <v>3486.5151999999998</v>
      </c>
      <c r="AY81" s="30">
        <f t="shared" si="196"/>
        <v>3984.5888</v>
      </c>
      <c r="AZ81" s="30">
        <f t="shared" si="196"/>
        <v>4482.6623999999993</v>
      </c>
      <c r="BA81" s="30">
        <f t="shared" si="196"/>
        <v>4980.7359999999999</v>
      </c>
      <c r="BB81" s="30">
        <f t="shared" si="196"/>
        <v>5976.8832000000002</v>
      </c>
      <c r="BC81" s="30">
        <f t="shared" si="196"/>
        <v>6973.0303999999996</v>
      </c>
      <c r="BD81" s="30">
        <f t="shared" si="196"/>
        <v>7969.1776</v>
      </c>
      <c r="BE81" s="30">
        <f t="shared" si="196"/>
        <v>8965.3247999999985</v>
      </c>
      <c r="BF81" s="30">
        <f t="shared" si="196"/>
        <v>9961.4719999999998</v>
      </c>
      <c r="BG81" s="30">
        <f t="shared" si="196"/>
        <v>11953.7664</v>
      </c>
      <c r="BH81" s="30">
        <f t="shared" si="196"/>
        <v>13946.060799999999</v>
      </c>
      <c r="BI81" s="30">
        <f t="shared" si="196"/>
        <v>15938.3552</v>
      </c>
      <c r="BJ81" s="30">
        <f t="shared" si="196"/>
        <v>17930.649599999997</v>
      </c>
      <c r="BK81" s="30">
        <f t="shared" si="196"/>
        <v>19922.944</v>
      </c>
      <c r="BL81" s="30">
        <f t="shared" si="196"/>
        <v>39845.887999999999</v>
      </c>
      <c r="BM81" s="30">
        <f t="shared" si="196"/>
        <v>79691.775999999998</v>
      </c>
      <c r="BN81" s="68">
        <f t="shared" si="196"/>
        <v>105803.856</v>
      </c>
      <c r="BO81" s="45"/>
    </row>
    <row r="82" spans="1:67" x14ac:dyDescent="0.25">
      <c r="A82" s="42" t="s">
        <v>20</v>
      </c>
      <c r="B82" s="6">
        <f>'Population by Age - Wikipedia'!D4</f>
        <v>0.19798812289970874</v>
      </c>
      <c r="C82" s="10">
        <f t="shared" si="182"/>
        <v>275630353.22356695</v>
      </c>
      <c r="D82" s="23">
        <f>'Infection Rate by Age'!B12</f>
        <v>2.1000000000000001E-2</v>
      </c>
      <c r="E82" s="17"/>
      <c r="F82" s="10"/>
      <c r="G82" s="10"/>
      <c r="H82" s="10"/>
      <c r="I82" s="10"/>
      <c r="J82" s="10"/>
      <c r="K82" s="10"/>
      <c r="L82" s="10"/>
      <c r="M82" s="10"/>
      <c r="N82" s="10"/>
      <c r="O82" s="10"/>
      <c r="P82" s="20">
        <f t="shared" ref="P82:BN82" si="197">P$35*$D$82</f>
        <v>0.65625</v>
      </c>
      <c r="Q82" s="21">
        <f t="shared" si="197"/>
        <v>1.3125</v>
      </c>
      <c r="R82" s="21">
        <f t="shared" si="197"/>
        <v>2.625</v>
      </c>
      <c r="S82" s="21">
        <f t="shared" si="197"/>
        <v>5.25</v>
      </c>
      <c r="T82" s="21">
        <f t="shared" si="197"/>
        <v>10.5</v>
      </c>
      <c r="U82" s="21">
        <f t="shared" si="197"/>
        <v>21</v>
      </c>
      <c r="V82" s="21">
        <f t="shared" si="197"/>
        <v>42</v>
      </c>
      <c r="W82" s="21">
        <f t="shared" si="197"/>
        <v>84</v>
      </c>
      <c r="X82" s="21">
        <f t="shared" si="197"/>
        <v>168</v>
      </c>
      <c r="Y82" s="21">
        <f t="shared" si="197"/>
        <v>336</v>
      </c>
      <c r="Z82" s="21">
        <f t="shared" si="197"/>
        <v>672</v>
      </c>
      <c r="AA82" s="21">
        <f t="shared" si="197"/>
        <v>1344</v>
      </c>
      <c r="AB82" s="21">
        <f t="shared" si="197"/>
        <v>2688</v>
      </c>
      <c r="AC82" s="21">
        <f t="shared" si="197"/>
        <v>5376</v>
      </c>
      <c r="AD82" s="21">
        <f t="shared" si="197"/>
        <v>10752</v>
      </c>
      <c r="AE82" s="21">
        <f t="shared" si="197"/>
        <v>21504</v>
      </c>
      <c r="AF82" s="21">
        <f t="shared" si="197"/>
        <v>43008</v>
      </c>
      <c r="AG82" s="21">
        <f t="shared" si="197"/>
        <v>86016</v>
      </c>
      <c r="AH82" s="21">
        <f t="shared" si="197"/>
        <v>103219.20000000001</v>
      </c>
      <c r="AI82" s="21">
        <f t="shared" si="197"/>
        <v>120422.40000000001</v>
      </c>
      <c r="AJ82" s="21">
        <f t="shared" si="197"/>
        <v>137625.60000000001</v>
      </c>
      <c r="AK82" s="21">
        <f t="shared" si="197"/>
        <v>154828.80000000002</v>
      </c>
      <c r="AL82" s="21">
        <f t="shared" si="197"/>
        <v>172032</v>
      </c>
      <c r="AM82" s="21">
        <f t="shared" si="197"/>
        <v>206438.40000000002</v>
      </c>
      <c r="AN82" s="21">
        <f t="shared" si="197"/>
        <v>240844.80000000002</v>
      </c>
      <c r="AO82" s="21">
        <f t="shared" si="197"/>
        <v>275251.20000000001</v>
      </c>
      <c r="AP82" s="21">
        <f t="shared" si="197"/>
        <v>309657.60000000003</v>
      </c>
      <c r="AQ82" s="21">
        <f t="shared" si="197"/>
        <v>344064</v>
      </c>
      <c r="AR82" s="21">
        <f t="shared" si="197"/>
        <v>412876.80000000005</v>
      </c>
      <c r="AS82" s="21">
        <f t="shared" si="197"/>
        <v>481689.60000000003</v>
      </c>
      <c r="AT82" s="21">
        <f t="shared" si="197"/>
        <v>550502.40000000002</v>
      </c>
      <c r="AU82" s="21">
        <f t="shared" si="197"/>
        <v>619315.20000000007</v>
      </c>
      <c r="AV82" s="21">
        <f t="shared" si="197"/>
        <v>688128</v>
      </c>
      <c r="AW82" s="21">
        <f t="shared" si="197"/>
        <v>825753.60000000009</v>
      </c>
      <c r="AX82" s="21">
        <f t="shared" si="197"/>
        <v>963379.20000000007</v>
      </c>
      <c r="AY82" s="21">
        <f t="shared" si="197"/>
        <v>1101004.8</v>
      </c>
      <c r="AZ82" s="21">
        <f t="shared" si="197"/>
        <v>1238630.4000000001</v>
      </c>
      <c r="BA82" s="21">
        <f t="shared" si="197"/>
        <v>1376256</v>
      </c>
      <c r="BB82" s="21">
        <f t="shared" si="197"/>
        <v>1651507.2000000002</v>
      </c>
      <c r="BC82" s="21">
        <f t="shared" si="197"/>
        <v>1926758.4000000001</v>
      </c>
      <c r="BD82" s="21">
        <f t="shared" si="197"/>
        <v>2202009.6000000001</v>
      </c>
      <c r="BE82" s="21">
        <f t="shared" si="197"/>
        <v>2477260.8000000003</v>
      </c>
      <c r="BF82" s="21">
        <f t="shared" si="197"/>
        <v>2752512</v>
      </c>
      <c r="BG82" s="21">
        <f t="shared" si="197"/>
        <v>3303014.4000000004</v>
      </c>
      <c r="BH82" s="21">
        <f t="shared" si="197"/>
        <v>3853516.8000000003</v>
      </c>
      <c r="BI82" s="21">
        <f t="shared" si="197"/>
        <v>4404019.2000000002</v>
      </c>
      <c r="BJ82" s="21">
        <f t="shared" si="197"/>
        <v>4954521.6000000006</v>
      </c>
      <c r="BK82" s="21">
        <f t="shared" si="197"/>
        <v>5505024</v>
      </c>
      <c r="BL82" s="21">
        <f t="shared" si="197"/>
        <v>11010048</v>
      </c>
      <c r="BM82" s="21">
        <f t="shared" si="197"/>
        <v>22020096</v>
      </c>
      <c r="BN82" s="69">
        <f t="shared" si="197"/>
        <v>29235276</v>
      </c>
      <c r="BO82" s="45"/>
    </row>
    <row r="83" spans="1:67" x14ac:dyDescent="0.25">
      <c r="A83" s="42"/>
      <c r="B83" s="7"/>
      <c r="C83" s="11"/>
      <c r="D83" s="26"/>
      <c r="E83" s="28">
        <v>0</v>
      </c>
      <c r="F83" s="15"/>
      <c r="G83" s="10"/>
      <c r="H83" s="10"/>
      <c r="I83" s="10"/>
      <c r="J83" s="10"/>
      <c r="K83" s="10"/>
      <c r="L83" s="10"/>
      <c r="M83" s="10"/>
      <c r="N83" s="10"/>
      <c r="O83" s="10"/>
      <c r="P83" s="31">
        <f t="shared" ref="P83:BN83" si="198">P$35*$D$82*$E$83</f>
        <v>0</v>
      </c>
      <c r="Q83" s="32">
        <f t="shared" si="198"/>
        <v>0</v>
      </c>
      <c r="R83" s="32">
        <f t="shared" si="198"/>
        <v>0</v>
      </c>
      <c r="S83" s="32">
        <f t="shared" si="198"/>
        <v>0</v>
      </c>
      <c r="T83" s="32">
        <f t="shared" si="198"/>
        <v>0</v>
      </c>
      <c r="U83" s="32">
        <f t="shared" si="198"/>
        <v>0</v>
      </c>
      <c r="V83" s="32">
        <f t="shared" si="198"/>
        <v>0</v>
      </c>
      <c r="W83" s="32">
        <f t="shared" si="198"/>
        <v>0</v>
      </c>
      <c r="X83" s="32">
        <f t="shared" si="198"/>
        <v>0</v>
      </c>
      <c r="Y83" s="32">
        <f t="shared" si="198"/>
        <v>0</v>
      </c>
      <c r="Z83" s="32">
        <f t="shared" si="198"/>
        <v>0</v>
      </c>
      <c r="AA83" s="32">
        <f t="shared" si="198"/>
        <v>0</v>
      </c>
      <c r="AB83" s="32">
        <f t="shared" si="198"/>
        <v>0</v>
      </c>
      <c r="AC83" s="32">
        <f t="shared" si="198"/>
        <v>0</v>
      </c>
      <c r="AD83" s="32">
        <f t="shared" si="198"/>
        <v>0</v>
      </c>
      <c r="AE83" s="32">
        <f t="shared" si="198"/>
        <v>0</v>
      </c>
      <c r="AF83" s="32">
        <f t="shared" si="198"/>
        <v>0</v>
      </c>
      <c r="AG83" s="32">
        <f t="shared" si="198"/>
        <v>0</v>
      </c>
      <c r="AH83" s="32">
        <f t="shared" si="198"/>
        <v>0</v>
      </c>
      <c r="AI83" s="32">
        <f t="shared" si="198"/>
        <v>0</v>
      </c>
      <c r="AJ83" s="32">
        <f t="shared" si="198"/>
        <v>0</v>
      </c>
      <c r="AK83" s="32">
        <f t="shared" si="198"/>
        <v>0</v>
      </c>
      <c r="AL83" s="32">
        <f t="shared" si="198"/>
        <v>0</v>
      </c>
      <c r="AM83" s="32">
        <f t="shared" si="198"/>
        <v>0</v>
      </c>
      <c r="AN83" s="32">
        <f t="shared" si="198"/>
        <v>0</v>
      </c>
      <c r="AO83" s="32">
        <f t="shared" si="198"/>
        <v>0</v>
      </c>
      <c r="AP83" s="32">
        <f t="shared" si="198"/>
        <v>0</v>
      </c>
      <c r="AQ83" s="32">
        <f t="shared" si="198"/>
        <v>0</v>
      </c>
      <c r="AR83" s="32">
        <f t="shared" si="198"/>
        <v>0</v>
      </c>
      <c r="AS83" s="32">
        <f t="shared" si="198"/>
        <v>0</v>
      </c>
      <c r="AT83" s="32">
        <f t="shared" si="198"/>
        <v>0</v>
      </c>
      <c r="AU83" s="32">
        <f t="shared" si="198"/>
        <v>0</v>
      </c>
      <c r="AV83" s="32">
        <f t="shared" si="198"/>
        <v>0</v>
      </c>
      <c r="AW83" s="32">
        <f t="shared" si="198"/>
        <v>0</v>
      </c>
      <c r="AX83" s="32">
        <f t="shared" si="198"/>
        <v>0</v>
      </c>
      <c r="AY83" s="32">
        <f t="shared" si="198"/>
        <v>0</v>
      </c>
      <c r="AZ83" s="32">
        <f t="shared" si="198"/>
        <v>0</v>
      </c>
      <c r="BA83" s="32">
        <f t="shared" si="198"/>
        <v>0</v>
      </c>
      <c r="BB83" s="32">
        <f t="shared" si="198"/>
        <v>0</v>
      </c>
      <c r="BC83" s="32">
        <f t="shared" si="198"/>
        <v>0</v>
      </c>
      <c r="BD83" s="32">
        <f t="shared" si="198"/>
        <v>0</v>
      </c>
      <c r="BE83" s="32">
        <f t="shared" si="198"/>
        <v>0</v>
      </c>
      <c r="BF83" s="32">
        <f t="shared" si="198"/>
        <v>0</v>
      </c>
      <c r="BG83" s="32">
        <f t="shared" si="198"/>
        <v>0</v>
      </c>
      <c r="BH83" s="32">
        <f t="shared" si="198"/>
        <v>0</v>
      </c>
      <c r="BI83" s="32">
        <f t="shared" si="198"/>
        <v>0</v>
      </c>
      <c r="BJ83" s="32">
        <f t="shared" si="198"/>
        <v>0</v>
      </c>
      <c r="BK83" s="30">
        <f t="shared" si="198"/>
        <v>0</v>
      </c>
      <c r="BL83" s="30">
        <f t="shared" si="198"/>
        <v>0</v>
      </c>
      <c r="BM83" s="30">
        <f t="shared" si="198"/>
        <v>0</v>
      </c>
      <c r="BN83" s="68">
        <f t="shared" si="198"/>
        <v>0</v>
      </c>
      <c r="BO83" s="45"/>
    </row>
    <row r="84" spans="1:67" x14ac:dyDescent="0.25">
      <c r="A84" s="41" t="s">
        <v>39</v>
      </c>
      <c r="B84" s="14"/>
      <c r="C84" s="10"/>
      <c r="D84" s="10"/>
      <c r="E84" s="15"/>
      <c r="F84" s="10"/>
      <c r="G84" s="10"/>
      <c r="H84" s="10"/>
      <c r="I84" s="10"/>
      <c r="J84" s="10"/>
      <c r="K84" s="10"/>
      <c r="L84" s="10"/>
      <c r="M84" s="10"/>
      <c r="N84" s="10"/>
      <c r="O84" s="10"/>
      <c r="P84" s="18">
        <f t="shared" ref="P84:AF84" si="199">SUM(P66,P68,P70,P72,P74,P76,P78,P80,P82)</f>
        <v>31.25</v>
      </c>
      <c r="Q84" s="19">
        <f t="shared" si="199"/>
        <v>62.5</v>
      </c>
      <c r="R84" s="19">
        <f t="shared" si="199"/>
        <v>125</v>
      </c>
      <c r="S84" s="19">
        <f t="shared" si="199"/>
        <v>250</v>
      </c>
      <c r="T84" s="19">
        <f t="shared" si="199"/>
        <v>500</v>
      </c>
      <c r="U84" s="19">
        <f>SUM(U66,U68,U70,U72,U74,U76,U78,U80,U82)</f>
        <v>1000</v>
      </c>
      <c r="V84" s="19">
        <f t="shared" si="199"/>
        <v>2000</v>
      </c>
      <c r="W84" s="19">
        <f t="shared" si="199"/>
        <v>4000</v>
      </c>
      <c r="X84" s="19">
        <f t="shared" si="199"/>
        <v>8000</v>
      </c>
      <c r="Y84" s="19">
        <f t="shared" si="199"/>
        <v>16000</v>
      </c>
      <c r="Z84" s="19">
        <f t="shared" si="199"/>
        <v>32000</v>
      </c>
      <c r="AA84" s="19">
        <f t="shared" si="199"/>
        <v>64000</v>
      </c>
      <c r="AB84" s="19">
        <f t="shared" si="199"/>
        <v>128000</v>
      </c>
      <c r="AC84" s="19">
        <f t="shared" si="199"/>
        <v>256000</v>
      </c>
      <c r="AD84" s="19">
        <f t="shared" si="199"/>
        <v>512000</v>
      </c>
      <c r="AE84" s="19">
        <f t="shared" si="199"/>
        <v>1024000</v>
      </c>
      <c r="AF84" s="19">
        <f t="shared" si="199"/>
        <v>2048000</v>
      </c>
      <c r="AG84" s="19">
        <f t="shared" ref="AG84:AQ85" si="200">SUM(AG66,AG68,AG70,AG72,AG74,AG76,AG78,AG80,AG82)</f>
        <v>4096000</v>
      </c>
      <c r="AH84" s="19">
        <f t="shared" ref="AH84:AK84" si="201">SUM(AH66,AH68,AH70,AH72,AH74,AH76,AH78,AH80,AH82)</f>
        <v>4915200</v>
      </c>
      <c r="AI84" s="19">
        <f t="shared" si="201"/>
        <v>5734400.0000000009</v>
      </c>
      <c r="AJ84" s="19">
        <f t="shared" si="201"/>
        <v>6553600</v>
      </c>
      <c r="AK84" s="19">
        <f t="shared" si="201"/>
        <v>7372800.0000000009</v>
      </c>
      <c r="AL84" s="19">
        <f t="shared" si="200"/>
        <v>8192000</v>
      </c>
      <c r="AM84" s="19">
        <f t="shared" ref="AM84:AP84" si="202">SUM(AM66,AM68,AM70,AM72,AM74,AM76,AM78,AM80,AM82)</f>
        <v>9830400</v>
      </c>
      <c r="AN84" s="19">
        <f t="shared" si="202"/>
        <v>11468800.000000002</v>
      </c>
      <c r="AO84" s="19">
        <f t="shared" si="202"/>
        <v>13107200</v>
      </c>
      <c r="AP84" s="19">
        <f t="shared" si="202"/>
        <v>14745600.000000002</v>
      </c>
      <c r="AQ84" s="19">
        <f t="shared" si="200"/>
        <v>16384000</v>
      </c>
      <c r="AR84" s="19">
        <f t="shared" ref="AR84:AU84" si="203">SUM(AR66,AR68,AR70,AR72,AR74,AR76,AR78,AR80,AR82)</f>
        <v>19660800</v>
      </c>
      <c r="AS84" s="19">
        <f t="shared" si="203"/>
        <v>22937600.000000004</v>
      </c>
      <c r="AT84" s="19">
        <f t="shared" si="203"/>
        <v>26214400</v>
      </c>
      <c r="AU84" s="19">
        <f t="shared" si="203"/>
        <v>29491200.000000004</v>
      </c>
      <c r="AV84" s="19">
        <f t="shared" ref="AV84:BN84" si="204">SUM(AV66,AV68,AV70,AV72,AV74,AV76,AV78,AV80,AV82)</f>
        <v>32768000</v>
      </c>
      <c r="AW84" s="19">
        <f t="shared" ref="AW84:AZ84" si="205">SUM(AW66,AW68,AW70,AW72,AW74,AW76,AW78,AW80,AW82)</f>
        <v>39321600</v>
      </c>
      <c r="AX84" s="19">
        <f t="shared" si="205"/>
        <v>45875200.000000007</v>
      </c>
      <c r="AY84" s="19">
        <f t="shared" si="205"/>
        <v>52428800</v>
      </c>
      <c r="AZ84" s="19">
        <f t="shared" si="205"/>
        <v>58982400.000000007</v>
      </c>
      <c r="BA84" s="19">
        <f t="shared" ref="BA84:BD84" si="206">SUM(BA66,BA68,BA70,BA72,BA74,BA76,BA78,BA80,BA82)</f>
        <v>65536000</v>
      </c>
      <c r="BB84" s="19">
        <f t="shared" si="206"/>
        <v>78643200</v>
      </c>
      <c r="BC84" s="19">
        <f t="shared" si="206"/>
        <v>91750400.000000015</v>
      </c>
      <c r="BD84" s="19">
        <f t="shared" si="206"/>
        <v>104857600</v>
      </c>
      <c r="BE84" s="19">
        <f t="shared" ref="BE84:BJ84" si="207">SUM(BE66,BE68,BE70,BE72,BE74,BE76,BE78,BE80,BE82)</f>
        <v>117964800.00000001</v>
      </c>
      <c r="BF84" s="19">
        <f t="shared" si="207"/>
        <v>131072000</v>
      </c>
      <c r="BG84" s="19">
        <f t="shared" si="207"/>
        <v>157286400</v>
      </c>
      <c r="BH84" s="19">
        <f t="shared" si="207"/>
        <v>183500800.00000003</v>
      </c>
      <c r="BI84" s="19">
        <f t="shared" si="207"/>
        <v>209715200</v>
      </c>
      <c r="BJ84" s="19">
        <f t="shared" si="207"/>
        <v>235929600.00000003</v>
      </c>
      <c r="BK84" s="19">
        <f t="shared" si="204"/>
        <v>262144000</v>
      </c>
      <c r="BL84" s="19">
        <f t="shared" ref="BL84" si="208">SUM(BL66,BL68,BL70,BL72,BL74,BL76,BL78,BL80,BL82)</f>
        <v>524288000</v>
      </c>
      <c r="BM84" s="19">
        <f t="shared" si="204"/>
        <v>1048576000</v>
      </c>
      <c r="BN84" s="59">
        <f t="shared" si="204"/>
        <v>1392156000</v>
      </c>
      <c r="BO84" s="45"/>
    </row>
    <row r="85" spans="1:67" x14ac:dyDescent="0.25">
      <c r="A85" s="43" t="s">
        <v>38</v>
      </c>
      <c r="B85" s="44"/>
      <c r="C85" s="11"/>
      <c r="D85" s="11"/>
      <c r="E85" s="38"/>
      <c r="F85" s="11"/>
      <c r="G85" s="11"/>
      <c r="H85" s="11"/>
      <c r="I85" s="11"/>
      <c r="J85" s="11"/>
      <c r="K85" s="11"/>
      <c r="L85" s="11"/>
      <c r="M85" s="11"/>
      <c r="N85" s="11"/>
      <c r="O85" s="11"/>
      <c r="P85" s="31">
        <f>SUM(P67,P69,P71,P73,P75,P77,P79,P81,P83)</f>
        <v>0.37140624999999999</v>
      </c>
      <c r="Q85" s="32">
        <f>SUM(Q67,Q69,Q71,Q73,Q75,Q77,Q79,Q81,Q83)</f>
        <v>0.74281249999999999</v>
      </c>
      <c r="R85" s="32">
        <f t="shared" ref="R85:AF85" si="209">SUM(R67,R69,R71,R73,R75,R77,R79,R81,R83)</f>
        <v>1.485625</v>
      </c>
      <c r="S85" s="32">
        <f t="shared" si="209"/>
        <v>2.9712499999999999</v>
      </c>
      <c r="T85" s="32">
        <f t="shared" si="209"/>
        <v>5.9424999999999999</v>
      </c>
      <c r="U85" s="32">
        <f t="shared" si="209"/>
        <v>11.885</v>
      </c>
      <c r="V85" s="32">
        <f t="shared" si="209"/>
        <v>23.77</v>
      </c>
      <c r="W85" s="32">
        <f t="shared" si="209"/>
        <v>47.54</v>
      </c>
      <c r="X85" s="32">
        <f t="shared" si="209"/>
        <v>95.08</v>
      </c>
      <c r="Y85" s="32">
        <f t="shared" si="209"/>
        <v>190.16</v>
      </c>
      <c r="Z85" s="32">
        <f t="shared" si="209"/>
        <v>380.32</v>
      </c>
      <c r="AA85" s="32">
        <f t="shared" si="209"/>
        <v>760.64</v>
      </c>
      <c r="AB85" s="32">
        <f t="shared" si="209"/>
        <v>1521.28</v>
      </c>
      <c r="AC85" s="32">
        <f t="shared" si="209"/>
        <v>3042.56</v>
      </c>
      <c r="AD85" s="32">
        <f t="shared" si="209"/>
        <v>6085.12</v>
      </c>
      <c r="AE85" s="32">
        <f t="shared" si="209"/>
        <v>12170.24</v>
      </c>
      <c r="AF85" s="32">
        <f t="shared" si="209"/>
        <v>24340.48</v>
      </c>
      <c r="AG85" s="32">
        <f t="shared" si="200"/>
        <v>48680.959999999999</v>
      </c>
      <c r="AH85" s="32">
        <f t="shared" ref="AH85:AK85" si="210">SUM(AH67,AH69,AH71,AH73,AH75,AH77,AH79,AH81,AH83)</f>
        <v>58417.152000000002</v>
      </c>
      <c r="AI85" s="32">
        <f t="shared" si="210"/>
        <v>68153.344000000012</v>
      </c>
      <c r="AJ85" s="32">
        <f t="shared" si="210"/>
        <v>77889.536000000007</v>
      </c>
      <c r="AK85" s="32">
        <f t="shared" si="210"/>
        <v>87625.728000000003</v>
      </c>
      <c r="AL85" s="32">
        <f t="shared" si="200"/>
        <v>97361.919999999998</v>
      </c>
      <c r="AM85" s="32">
        <f t="shared" ref="AM85:AP85" si="211">SUM(AM67,AM69,AM71,AM73,AM75,AM77,AM79,AM81,AM83)</f>
        <v>116834.304</v>
      </c>
      <c r="AN85" s="32">
        <f t="shared" si="211"/>
        <v>136306.68800000002</v>
      </c>
      <c r="AO85" s="32">
        <f t="shared" si="211"/>
        <v>155779.07200000001</v>
      </c>
      <c r="AP85" s="32">
        <f t="shared" si="211"/>
        <v>175251.45600000001</v>
      </c>
      <c r="AQ85" s="32">
        <f t="shared" si="200"/>
        <v>194723.84</v>
      </c>
      <c r="AR85" s="32">
        <f t="shared" ref="AR85:AU85" si="212">SUM(AR67,AR69,AR71,AR73,AR75,AR77,AR79,AR81,AR83)</f>
        <v>233668.60800000001</v>
      </c>
      <c r="AS85" s="32">
        <f t="shared" si="212"/>
        <v>272613.37600000005</v>
      </c>
      <c r="AT85" s="32">
        <f t="shared" si="212"/>
        <v>311558.14400000003</v>
      </c>
      <c r="AU85" s="32">
        <f t="shared" si="212"/>
        <v>350502.91200000001</v>
      </c>
      <c r="AV85" s="32">
        <f t="shared" ref="AV85:BN85" si="213">SUM(AV67,AV69,AV71,AV73,AV75,AV77,AV79,AV81,AV83)</f>
        <v>389447.67999999999</v>
      </c>
      <c r="AW85" s="32">
        <f t="shared" ref="AW85:AZ85" si="214">SUM(AW67,AW69,AW71,AW73,AW75,AW77,AW79,AW81,AW83)</f>
        <v>467337.21600000001</v>
      </c>
      <c r="AX85" s="32">
        <f t="shared" si="214"/>
        <v>545226.75200000009</v>
      </c>
      <c r="AY85" s="32">
        <f t="shared" si="214"/>
        <v>623116.28800000006</v>
      </c>
      <c r="AZ85" s="32">
        <f t="shared" si="214"/>
        <v>701005.82400000002</v>
      </c>
      <c r="BA85" s="32">
        <f t="shared" ref="BA85:BD85" si="215">SUM(BA67,BA69,BA71,BA73,BA75,BA77,BA79,BA81,BA83)</f>
        <v>778895.35999999999</v>
      </c>
      <c r="BB85" s="32">
        <f t="shared" si="215"/>
        <v>934674.43200000003</v>
      </c>
      <c r="BC85" s="32">
        <f t="shared" si="215"/>
        <v>1090453.5040000002</v>
      </c>
      <c r="BD85" s="32">
        <f t="shared" si="215"/>
        <v>1246232.5760000001</v>
      </c>
      <c r="BE85" s="32">
        <f t="shared" ref="BE85:BJ85" si="216">SUM(BE67,BE69,BE71,BE73,BE75,BE77,BE79,BE81,BE83)</f>
        <v>1402011.648</v>
      </c>
      <c r="BF85" s="32">
        <f t="shared" si="216"/>
        <v>1557790.72</v>
      </c>
      <c r="BG85" s="32">
        <f t="shared" si="216"/>
        <v>1869348.8640000001</v>
      </c>
      <c r="BH85" s="32">
        <f t="shared" si="216"/>
        <v>2180907.0080000004</v>
      </c>
      <c r="BI85" s="32">
        <f t="shared" si="216"/>
        <v>2492465.1520000002</v>
      </c>
      <c r="BJ85" s="32">
        <f t="shared" si="216"/>
        <v>2804023.2960000001</v>
      </c>
      <c r="BK85" s="32">
        <f t="shared" si="213"/>
        <v>3115581.4399999999</v>
      </c>
      <c r="BL85" s="32">
        <f t="shared" ref="BL85" si="217">SUM(BL67,BL69,BL71,BL73,BL75,BL77,BL79,BL81,BL83)</f>
        <v>6231162.8799999999</v>
      </c>
      <c r="BM85" s="32">
        <f t="shared" si="213"/>
        <v>12462325.76</v>
      </c>
      <c r="BN85" s="70">
        <f t="shared" si="213"/>
        <v>16545774.059999999</v>
      </c>
      <c r="BO85" s="45"/>
    </row>
    <row r="86" spans="1:67" x14ac:dyDescent="0.25">
      <c r="A86" s="42"/>
      <c r="B86" s="14"/>
      <c r="C86" s="10"/>
      <c r="D86" s="10"/>
      <c r="E86" s="15"/>
      <c r="F86" s="10"/>
      <c r="G86" s="10"/>
      <c r="H86" s="10"/>
      <c r="I86" s="10"/>
      <c r="J86" s="10"/>
      <c r="K86" s="10"/>
      <c r="L86" s="10"/>
      <c r="M86" s="10"/>
      <c r="N86" s="10"/>
      <c r="O86" s="10"/>
      <c r="P86" s="45"/>
      <c r="Q86" s="45"/>
      <c r="R86" s="45"/>
      <c r="S86" s="45"/>
      <c r="T86" s="45"/>
      <c r="U86" s="45"/>
      <c r="V86" s="45"/>
      <c r="W86" s="45"/>
      <c r="X86" s="45"/>
      <c r="Y86" s="45"/>
      <c r="Z86" s="45"/>
      <c r="AA86" s="45"/>
      <c r="AB86" s="45"/>
      <c r="AC86" s="45"/>
      <c r="AD86" s="45"/>
      <c r="AE86" s="45"/>
      <c r="AF86" s="45"/>
      <c r="AG86" s="45"/>
      <c r="AH86" s="45"/>
      <c r="AI86" s="45"/>
      <c r="AJ86" s="45"/>
      <c r="AK86" s="45"/>
    </row>
    <row r="87" spans="1:67" x14ac:dyDescent="0.25">
      <c r="A87" s="53" t="s">
        <v>49</v>
      </c>
      <c r="B87" s="14"/>
      <c r="C87" s="10"/>
      <c r="D87" s="10"/>
      <c r="E87" s="15"/>
      <c r="F87" s="10"/>
      <c r="G87" s="10"/>
      <c r="H87" s="10"/>
      <c r="I87" s="10"/>
      <c r="J87" s="10"/>
      <c r="K87" s="10"/>
      <c r="L87" s="10"/>
      <c r="M87" s="10"/>
      <c r="N87" s="10"/>
      <c r="O87" s="10"/>
      <c r="P87" s="45"/>
      <c r="Q87" s="45"/>
      <c r="R87" s="45"/>
      <c r="S87" s="45"/>
      <c r="T87" s="45"/>
      <c r="U87" s="45"/>
      <c r="V87" s="45"/>
      <c r="W87" s="45"/>
      <c r="X87" s="45"/>
      <c r="Y87" s="45"/>
      <c r="Z87" s="45"/>
      <c r="AA87" s="45"/>
      <c r="AB87" s="45"/>
      <c r="AC87" s="45"/>
      <c r="AD87" s="45"/>
      <c r="AE87" s="45"/>
      <c r="AF87" s="45"/>
      <c r="AG87" s="45"/>
      <c r="AH87" s="45"/>
      <c r="AI87" s="45"/>
      <c r="AJ87" s="45"/>
      <c r="AK87" s="45"/>
    </row>
    <row r="88" spans="1:67" x14ac:dyDescent="0.25">
      <c r="A88" s="4"/>
      <c r="B88" s="9" t="s">
        <v>5</v>
      </c>
      <c r="C88" s="9" t="s">
        <v>3</v>
      </c>
      <c r="D88" s="9"/>
      <c r="E88" s="58" t="s">
        <v>2</v>
      </c>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5"/>
      <c r="BO88" s="47"/>
    </row>
    <row r="89" spans="1:67" x14ac:dyDescent="0.25">
      <c r="A89" s="48" t="s">
        <v>1</v>
      </c>
      <c r="B89" s="24">
        <v>3.9E-2</v>
      </c>
      <c r="C89" s="10">
        <f>$B$21 * B89</f>
        <v>54294084</v>
      </c>
      <c r="D89" s="16"/>
      <c r="E89" s="16"/>
      <c r="F89" s="16"/>
      <c r="G89" s="16"/>
      <c r="H89" s="16"/>
      <c r="I89" s="16"/>
      <c r="J89" s="16"/>
      <c r="K89" s="16"/>
      <c r="L89" s="16"/>
      <c r="M89" s="16"/>
      <c r="N89" s="16"/>
      <c r="O89" s="16"/>
      <c r="P89" s="18">
        <f t="shared" ref="P89:BN89" si="218">P$35*$B$89</f>
        <v>1.21875</v>
      </c>
      <c r="Q89" s="19">
        <f t="shared" si="218"/>
        <v>2.4375</v>
      </c>
      <c r="R89" s="19">
        <f t="shared" si="218"/>
        <v>4.875</v>
      </c>
      <c r="S89" s="19">
        <f t="shared" si="218"/>
        <v>9.75</v>
      </c>
      <c r="T89" s="19">
        <f t="shared" si="218"/>
        <v>19.5</v>
      </c>
      <c r="U89" s="19">
        <f t="shared" si="218"/>
        <v>39</v>
      </c>
      <c r="V89" s="19">
        <f t="shared" si="218"/>
        <v>78</v>
      </c>
      <c r="W89" s="19">
        <f t="shared" si="218"/>
        <v>156</v>
      </c>
      <c r="X89" s="19">
        <f t="shared" si="218"/>
        <v>312</v>
      </c>
      <c r="Y89" s="19">
        <f t="shared" si="218"/>
        <v>624</v>
      </c>
      <c r="Z89" s="19">
        <f t="shared" si="218"/>
        <v>1248</v>
      </c>
      <c r="AA89" s="19">
        <f t="shared" si="218"/>
        <v>2496</v>
      </c>
      <c r="AB89" s="19">
        <f t="shared" si="218"/>
        <v>4992</v>
      </c>
      <c r="AC89" s="19">
        <f t="shared" si="218"/>
        <v>9984</v>
      </c>
      <c r="AD89" s="19">
        <f t="shared" si="218"/>
        <v>19968</v>
      </c>
      <c r="AE89" s="19">
        <f t="shared" si="218"/>
        <v>39936</v>
      </c>
      <c r="AF89" s="19">
        <f t="shared" si="218"/>
        <v>79872</v>
      </c>
      <c r="AG89" s="19">
        <f t="shared" si="218"/>
        <v>159744</v>
      </c>
      <c r="AH89" s="19">
        <f t="shared" si="218"/>
        <v>191692.79999999999</v>
      </c>
      <c r="AI89" s="19">
        <f t="shared" si="218"/>
        <v>223641.60000000001</v>
      </c>
      <c r="AJ89" s="19">
        <f t="shared" si="218"/>
        <v>255590.39999999999</v>
      </c>
      <c r="AK89" s="19">
        <f t="shared" si="218"/>
        <v>287539.20000000001</v>
      </c>
      <c r="AL89" s="19">
        <f t="shared" si="218"/>
        <v>319488</v>
      </c>
      <c r="AM89" s="19">
        <f t="shared" si="218"/>
        <v>383385.59999999998</v>
      </c>
      <c r="AN89" s="19">
        <f t="shared" si="218"/>
        <v>447283.20000000001</v>
      </c>
      <c r="AO89" s="19">
        <f t="shared" si="218"/>
        <v>511180.79999999999</v>
      </c>
      <c r="AP89" s="19">
        <f t="shared" si="218"/>
        <v>575078.40000000002</v>
      </c>
      <c r="AQ89" s="19">
        <f t="shared" si="218"/>
        <v>638976</v>
      </c>
      <c r="AR89" s="19">
        <f t="shared" si="218"/>
        <v>766771.19999999995</v>
      </c>
      <c r="AS89" s="19">
        <f t="shared" si="218"/>
        <v>894566.40000000002</v>
      </c>
      <c r="AT89" s="19">
        <f t="shared" si="218"/>
        <v>1022361.6</v>
      </c>
      <c r="AU89" s="19">
        <f t="shared" si="218"/>
        <v>1150156.8</v>
      </c>
      <c r="AV89" s="19">
        <f t="shared" si="218"/>
        <v>1277952</v>
      </c>
      <c r="AW89" s="19">
        <f t="shared" si="218"/>
        <v>1533542.3999999999</v>
      </c>
      <c r="AX89" s="19">
        <f t="shared" si="218"/>
        <v>1789132.8</v>
      </c>
      <c r="AY89" s="19">
        <f t="shared" si="218"/>
        <v>2044723.2</v>
      </c>
      <c r="AZ89" s="19">
        <f t="shared" si="218"/>
        <v>2300313.6000000001</v>
      </c>
      <c r="BA89" s="19">
        <f t="shared" si="218"/>
        <v>2555904</v>
      </c>
      <c r="BB89" s="19">
        <f t="shared" si="218"/>
        <v>3067084.7999999998</v>
      </c>
      <c r="BC89" s="19">
        <f t="shared" si="218"/>
        <v>3578265.6000000001</v>
      </c>
      <c r="BD89" s="19">
        <f t="shared" si="218"/>
        <v>4089446.3999999999</v>
      </c>
      <c r="BE89" s="19">
        <f t="shared" si="218"/>
        <v>4600627.2000000002</v>
      </c>
      <c r="BF89" s="19">
        <f t="shared" si="218"/>
        <v>5111808</v>
      </c>
      <c r="BG89" s="19">
        <f t="shared" si="218"/>
        <v>6134169.5999999996</v>
      </c>
      <c r="BH89" s="19">
        <f t="shared" si="218"/>
        <v>7156531.2000000002</v>
      </c>
      <c r="BI89" s="19">
        <f t="shared" si="218"/>
        <v>8178892.7999999998</v>
      </c>
      <c r="BJ89" s="19">
        <f t="shared" si="218"/>
        <v>9201254.4000000004</v>
      </c>
      <c r="BK89" s="19">
        <f t="shared" si="218"/>
        <v>10223616</v>
      </c>
      <c r="BL89" s="19">
        <f t="shared" si="218"/>
        <v>20447232</v>
      </c>
      <c r="BM89" s="19">
        <f t="shared" si="218"/>
        <v>40894464</v>
      </c>
      <c r="BN89" s="59">
        <f t="shared" si="218"/>
        <v>54294084</v>
      </c>
      <c r="BO89" s="45"/>
    </row>
    <row r="90" spans="1:67" x14ac:dyDescent="0.25">
      <c r="A90" s="48"/>
      <c r="B90" s="16"/>
      <c r="C90" s="16"/>
      <c r="D90" s="25"/>
      <c r="E90" s="46">
        <v>0.105</v>
      </c>
      <c r="F90" s="16"/>
      <c r="G90" s="16"/>
      <c r="H90" s="16"/>
      <c r="I90" s="16"/>
      <c r="J90" s="16"/>
      <c r="K90" s="16"/>
      <c r="L90" s="16"/>
      <c r="M90" s="16"/>
      <c r="N90" s="16"/>
      <c r="O90" s="16"/>
      <c r="P90" s="29">
        <f>P89*$E$90</f>
        <v>0.12796874999999999</v>
      </c>
      <c r="Q90" s="30">
        <f t="shared" ref="Q90:AF90" si="219">Q89*$E$90</f>
        <v>0.25593749999999998</v>
      </c>
      <c r="R90" s="30">
        <f t="shared" si="219"/>
        <v>0.51187499999999997</v>
      </c>
      <c r="S90" s="30">
        <f t="shared" si="219"/>
        <v>1.0237499999999999</v>
      </c>
      <c r="T90" s="30">
        <f t="shared" si="219"/>
        <v>2.0474999999999999</v>
      </c>
      <c r="U90" s="30">
        <f t="shared" si="219"/>
        <v>4.0949999999999998</v>
      </c>
      <c r="V90" s="30">
        <f t="shared" si="219"/>
        <v>8.19</v>
      </c>
      <c r="W90" s="30">
        <f t="shared" si="219"/>
        <v>16.38</v>
      </c>
      <c r="X90" s="30">
        <f t="shared" si="219"/>
        <v>32.76</v>
      </c>
      <c r="Y90" s="30">
        <f t="shared" si="219"/>
        <v>65.52</v>
      </c>
      <c r="Z90" s="30">
        <f t="shared" si="219"/>
        <v>131.04</v>
      </c>
      <c r="AA90" s="30">
        <f t="shared" si="219"/>
        <v>262.08</v>
      </c>
      <c r="AB90" s="30">
        <f t="shared" si="219"/>
        <v>524.16</v>
      </c>
      <c r="AC90" s="30">
        <f t="shared" si="219"/>
        <v>1048.32</v>
      </c>
      <c r="AD90" s="30">
        <f t="shared" si="219"/>
        <v>2096.64</v>
      </c>
      <c r="AE90" s="30">
        <f t="shared" si="219"/>
        <v>4193.28</v>
      </c>
      <c r="AF90" s="30">
        <f t="shared" si="219"/>
        <v>8386.56</v>
      </c>
      <c r="AG90" s="30">
        <f>AG89*$E$90</f>
        <v>16773.12</v>
      </c>
      <c r="AH90" s="30">
        <f t="shared" ref="AH90:AK90" si="220">AH89*$E$90</f>
        <v>20127.743999999999</v>
      </c>
      <c r="AI90" s="30">
        <f t="shared" si="220"/>
        <v>23482.367999999999</v>
      </c>
      <c r="AJ90" s="30">
        <f t="shared" si="220"/>
        <v>26836.991999999998</v>
      </c>
      <c r="AK90" s="30">
        <f t="shared" si="220"/>
        <v>30191.616000000002</v>
      </c>
      <c r="AL90" s="30">
        <f>AL89*$E$90</f>
        <v>33546.239999999998</v>
      </c>
      <c r="AM90" s="30">
        <f t="shared" ref="AM90:AP90" si="221">AM89*$E$90</f>
        <v>40255.487999999998</v>
      </c>
      <c r="AN90" s="30">
        <f t="shared" si="221"/>
        <v>46964.735999999997</v>
      </c>
      <c r="AO90" s="30">
        <f t="shared" si="221"/>
        <v>53673.983999999997</v>
      </c>
      <c r="AP90" s="30">
        <f t="shared" si="221"/>
        <v>60383.232000000004</v>
      </c>
      <c r="AQ90" s="30">
        <f>AQ89*$E$90</f>
        <v>67092.479999999996</v>
      </c>
      <c r="AR90" s="30">
        <f t="shared" ref="AR90:AU90" si="222">AR89*$E$90</f>
        <v>80510.975999999995</v>
      </c>
      <c r="AS90" s="30">
        <f t="shared" si="222"/>
        <v>93929.471999999994</v>
      </c>
      <c r="AT90" s="30">
        <f t="shared" si="222"/>
        <v>107347.96799999999</v>
      </c>
      <c r="AU90" s="30">
        <f t="shared" si="222"/>
        <v>120766.46400000001</v>
      </c>
      <c r="AV90" s="30">
        <f t="shared" ref="AV90:BN90" si="223">AV89*$E$90</f>
        <v>134184.95999999999</v>
      </c>
      <c r="AW90" s="30">
        <f t="shared" ref="AW90:AZ90" si="224">AW89*$E$90</f>
        <v>161021.95199999999</v>
      </c>
      <c r="AX90" s="30">
        <f t="shared" si="224"/>
        <v>187858.94399999999</v>
      </c>
      <c r="AY90" s="30">
        <f t="shared" si="224"/>
        <v>214695.93599999999</v>
      </c>
      <c r="AZ90" s="30">
        <f t="shared" si="224"/>
        <v>241532.92800000001</v>
      </c>
      <c r="BA90" s="30">
        <f t="shared" ref="BA90:BD90" si="225">BA89*$E$90</f>
        <v>268369.91999999998</v>
      </c>
      <c r="BB90" s="30">
        <f t="shared" si="225"/>
        <v>322043.90399999998</v>
      </c>
      <c r="BC90" s="30">
        <f t="shared" si="225"/>
        <v>375717.88799999998</v>
      </c>
      <c r="BD90" s="30">
        <f t="shared" si="225"/>
        <v>429391.87199999997</v>
      </c>
      <c r="BE90" s="30">
        <f t="shared" ref="BE90:BJ90" si="226">BE89*$E$90</f>
        <v>483065.85600000003</v>
      </c>
      <c r="BF90" s="30">
        <f t="shared" si="226"/>
        <v>536739.83999999997</v>
      </c>
      <c r="BG90" s="30">
        <f t="shared" si="226"/>
        <v>644087.80799999996</v>
      </c>
      <c r="BH90" s="30">
        <f t="shared" si="226"/>
        <v>751435.77599999995</v>
      </c>
      <c r="BI90" s="30">
        <f t="shared" si="226"/>
        <v>858783.74399999995</v>
      </c>
      <c r="BJ90" s="30">
        <f t="shared" si="226"/>
        <v>966131.71200000006</v>
      </c>
      <c r="BK90" s="30">
        <f t="shared" si="223"/>
        <v>1073479.6799999999</v>
      </c>
      <c r="BL90" s="30">
        <f t="shared" ref="BL90" si="227">BL89*$E$90</f>
        <v>2146959.3599999999</v>
      </c>
      <c r="BM90" s="30">
        <f t="shared" si="223"/>
        <v>4293918.7199999997</v>
      </c>
      <c r="BN90" s="68">
        <f t="shared" si="223"/>
        <v>5700878.8199999994</v>
      </c>
      <c r="BO90" s="45"/>
    </row>
    <row r="91" spans="1:67" x14ac:dyDescent="0.25">
      <c r="A91" s="48" t="s">
        <v>4</v>
      </c>
      <c r="B91" s="24">
        <v>8.8999999999999996E-2</v>
      </c>
      <c r="C91" s="10">
        <f>$B$21 * B91</f>
        <v>123901884</v>
      </c>
      <c r="D91" s="47"/>
      <c r="E91" s="16"/>
      <c r="F91" s="16"/>
      <c r="G91" s="16"/>
      <c r="H91" s="16"/>
      <c r="I91" s="16"/>
      <c r="J91" s="16"/>
      <c r="K91" s="16"/>
      <c r="L91" s="16"/>
      <c r="M91" s="16"/>
      <c r="N91" s="16"/>
      <c r="O91" s="16"/>
      <c r="P91" s="20">
        <f t="shared" ref="P91:BN91" si="228">P$35*$B$91</f>
        <v>2.78125</v>
      </c>
      <c r="Q91" s="21">
        <f t="shared" si="228"/>
        <v>5.5625</v>
      </c>
      <c r="R91" s="21">
        <f t="shared" si="228"/>
        <v>11.125</v>
      </c>
      <c r="S91" s="21">
        <f t="shared" si="228"/>
        <v>22.25</v>
      </c>
      <c r="T91" s="21">
        <f t="shared" si="228"/>
        <v>44.5</v>
      </c>
      <c r="U91" s="21">
        <f t="shared" si="228"/>
        <v>89</v>
      </c>
      <c r="V91" s="21">
        <f t="shared" si="228"/>
        <v>178</v>
      </c>
      <c r="W91" s="21">
        <f t="shared" si="228"/>
        <v>356</v>
      </c>
      <c r="X91" s="21">
        <f t="shared" si="228"/>
        <v>712</v>
      </c>
      <c r="Y91" s="21">
        <f t="shared" si="228"/>
        <v>1424</v>
      </c>
      <c r="Z91" s="21">
        <f t="shared" si="228"/>
        <v>2848</v>
      </c>
      <c r="AA91" s="21">
        <f t="shared" si="228"/>
        <v>5696</v>
      </c>
      <c r="AB91" s="21">
        <f t="shared" si="228"/>
        <v>11392</v>
      </c>
      <c r="AC91" s="21">
        <f t="shared" si="228"/>
        <v>22784</v>
      </c>
      <c r="AD91" s="21">
        <f t="shared" si="228"/>
        <v>45568</v>
      </c>
      <c r="AE91" s="21">
        <f t="shared" si="228"/>
        <v>91136</v>
      </c>
      <c r="AF91" s="21">
        <f t="shared" si="228"/>
        <v>182272</v>
      </c>
      <c r="AG91" s="21">
        <f t="shared" si="228"/>
        <v>364544</v>
      </c>
      <c r="AH91" s="21">
        <f t="shared" si="228"/>
        <v>437452.79999999999</v>
      </c>
      <c r="AI91" s="21">
        <f t="shared" si="228"/>
        <v>510361.59999999998</v>
      </c>
      <c r="AJ91" s="21">
        <f t="shared" si="228"/>
        <v>583270.40000000002</v>
      </c>
      <c r="AK91" s="21">
        <f t="shared" si="228"/>
        <v>656179.19999999995</v>
      </c>
      <c r="AL91" s="21">
        <f t="shared" si="228"/>
        <v>729088</v>
      </c>
      <c r="AM91" s="21">
        <f t="shared" si="228"/>
        <v>874905.59999999998</v>
      </c>
      <c r="AN91" s="21">
        <f t="shared" si="228"/>
        <v>1020723.2</v>
      </c>
      <c r="AO91" s="21">
        <f t="shared" si="228"/>
        <v>1166540.8</v>
      </c>
      <c r="AP91" s="21">
        <f t="shared" si="228"/>
        <v>1312358.3999999999</v>
      </c>
      <c r="AQ91" s="21">
        <f t="shared" si="228"/>
        <v>1458176</v>
      </c>
      <c r="AR91" s="21">
        <f t="shared" si="228"/>
        <v>1749811.2</v>
      </c>
      <c r="AS91" s="21">
        <f t="shared" si="228"/>
        <v>2041446.3999999999</v>
      </c>
      <c r="AT91" s="21">
        <f t="shared" si="228"/>
        <v>2333081.6000000001</v>
      </c>
      <c r="AU91" s="21">
        <f t="shared" si="228"/>
        <v>2624716.7999999998</v>
      </c>
      <c r="AV91" s="21">
        <f t="shared" si="228"/>
        <v>2916352</v>
      </c>
      <c r="AW91" s="21">
        <f t="shared" si="228"/>
        <v>3499622.3999999999</v>
      </c>
      <c r="AX91" s="21">
        <f t="shared" si="228"/>
        <v>4082892.7999999998</v>
      </c>
      <c r="AY91" s="21">
        <f t="shared" si="228"/>
        <v>4666163.2000000002</v>
      </c>
      <c r="AZ91" s="21">
        <f t="shared" si="228"/>
        <v>5249433.5999999996</v>
      </c>
      <c r="BA91" s="21">
        <f t="shared" si="228"/>
        <v>5832704</v>
      </c>
      <c r="BB91" s="21">
        <f t="shared" si="228"/>
        <v>6999244.7999999998</v>
      </c>
      <c r="BC91" s="21">
        <f t="shared" si="228"/>
        <v>8165785.5999999996</v>
      </c>
      <c r="BD91" s="21">
        <f t="shared" si="228"/>
        <v>9332326.4000000004</v>
      </c>
      <c r="BE91" s="21">
        <f t="shared" si="228"/>
        <v>10498867.199999999</v>
      </c>
      <c r="BF91" s="21">
        <f t="shared" si="228"/>
        <v>11665408</v>
      </c>
      <c r="BG91" s="21">
        <f t="shared" si="228"/>
        <v>13998489.6</v>
      </c>
      <c r="BH91" s="21">
        <f t="shared" si="228"/>
        <v>16331571.199999999</v>
      </c>
      <c r="BI91" s="21">
        <f t="shared" si="228"/>
        <v>18664652.800000001</v>
      </c>
      <c r="BJ91" s="21">
        <f t="shared" si="228"/>
        <v>20997734.399999999</v>
      </c>
      <c r="BK91" s="21">
        <f t="shared" si="228"/>
        <v>23330816</v>
      </c>
      <c r="BL91" s="21">
        <f t="shared" si="228"/>
        <v>46661632</v>
      </c>
      <c r="BM91" s="21">
        <f t="shared" si="228"/>
        <v>93323264</v>
      </c>
      <c r="BN91" s="69">
        <f t="shared" si="228"/>
        <v>123901884</v>
      </c>
      <c r="BO91" s="45"/>
    </row>
    <row r="92" spans="1:67" x14ac:dyDescent="0.25">
      <c r="A92" s="48"/>
      <c r="B92" s="16"/>
      <c r="C92" s="16"/>
      <c r="D92" s="25"/>
      <c r="E92" s="46">
        <v>7.2999999999999995E-2</v>
      </c>
      <c r="F92" s="16"/>
      <c r="G92" s="16"/>
      <c r="H92" s="16"/>
      <c r="I92" s="16"/>
      <c r="J92" s="16"/>
      <c r="K92" s="16"/>
      <c r="L92" s="16"/>
      <c r="M92" s="16"/>
      <c r="N92" s="16"/>
      <c r="O92" s="16"/>
      <c r="P92" s="29">
        <f t="shared" ref="P92:AF92" si="229">P91*$E$92</f>
        <v>0.20303125</v>
      </c>
      <c r="Q92" s="30">
        <f t="shared" si="229"/>
        <v>0.40606249999999999</v>
      </c>
      <c r="R92" s="30">
        <f t="shared" si="229"/>
        <v>0.81212499999999999</v>
      </c>
      <c r="S92" s="30">
        <f t="shared" si="229"/>
        <v>1.62425</v>
      </c>
      <c r="T92" s="30">
        <f t="shared" si="229"/>
        <v>3.2484999999999999</v>
      </c>
      <c r="U92" s="30">
        <f t="shared" si="229"/>
        <v>6.4969999999999999</v>
      </c>
      <c r="V92" s="30">
        <f t="shared" si="229"/>
        <v>12.994</v>
      </c>
      <c r="W92" s="30">
        <f t="shared" si="229"/>
        <v>25.988</v>
      </c>
      <c r="X92" s="30">
        <f t="shared" si="229"/>
        <v>51.975999999999999</v>
      </c>
      <c r="Y92" s="30">
        <f t="shared" si="229"/>
        <v>103.952</v>
      </c>
      <c r="Z92" s="30">
        <f t="shared" si="229"/>
        <v>207.904</v>
      </c>
      <c r="AA92" s="30">
        <f t="shared" si="229"/>
        <v>415.80799999999999</v>
      </c>
      <c r="AB92" s="30">
        <f t="shared" si="229"/>
        <v>831.61599999999999</v>
      </c>
      <c r="AC92" s="30">
        <f t="shared" si="229"/>
        <v>1663.232</v>
      </c>
      <c r="AD92" s="30">
        <f t="shared" si="229"/>
        <v>3326.4639999999999</v>
      </c>
      <c r="AE92" s="30">
        <f t="shared" si="229"/>
        <v>6652.9279999999999</v>
      </c>
      <c r="AF92" s="30">
        <f t="shared" si="229"/>
        <v>13305.856</v>
      </c>
      <c r="AG92" s="30">
        <f>AG91*$E$92</f>
        <v>26611.712</v>
      </c>
      <c r="AH92" s="30">
        <f t="shared" ref="AH92:AK92" si="230">AH91*$E$92</f>
        <v>31934.054399999997</v>
      </c>
      <c r="AI92" s="30">
        <f t="shared" si="230"/>
        <v>37256.396799999995</v>
      </c>
      <c r="AJ92" s="30">
        <f t="shared" si="230"/>
        <v>42578.739199999996</v>
      </c>
      <c r="AK92" s="30">
        <f t="shared" si="230"/>
        <v>47901.08159999999</v>
      </c>
      <c r="AL92" s="30">
        <f>AL91*$E$92</f>
        <v>53223.423999999999</v>
      </c>
      <c r="AM92" s="30">
        <f t="shared" ref="AM92:AP92" si="231">AM91*$E$92</f>
        <v>63868.108799999995</v>
      </c>
      <c r="AN92" s="30">
        <f t="shared" si="231"/>
        <v>74512.79359999999</v>
      </c>
      <c r="AO92" s="30">
        <f t="shared" si="231"/>
        <v>85157.478399999993</v>
      </c>
      <c r="AP92" s="30">
        <f t="shared" si="231"/>
        <v>95802.163199999981</v>
      </c>
      <c r="AQ92" s="30">
        <f>AQ91*$E$92</f>
        <v>106446.848</v>
      </c>
      <c r="AR92" s="30">
        <f t="shared" ref="AR92:AU92" si="232">AR91*$E$92</f>
        <v>127736.21759999999</v>
      </c>
      <c r="AS92" s="30">
        <f t="shared" si="232"/>
        <v>149025.58719999998</v>
      </c>
      <c r="AT92" s="30">
        <f t="shared" si="232"/>
        <v>170314.95679999999</v>
      </c>
      <c r="AU92" s="30">
        <f t="shared" si="232"/>
        <v>191604.32639999996</v>
      </c>
      <c r="AV92" s="30">
        <f t="shared" ref="AV92:BN92" si="233">AV91*$E$92</f>
        <v>212893.696</v>
      </c>
      <c r="AW92" s="30">
        <f t="shared" ref="AW92:AZ92" si="234">AW91*$E$92</f>
        <v>255472.43519999998</v>
      </c>
      <c r="AX92" s="30">
        <f t="shared" si="234"/>
        <v>298051.17439999996</v>
      </c>
      <c r="AY92" s="30">
        <f t="shared" si="234"/>
        <v>340629.91359999997</v>
      </c>
      <c r="AZ92" s="30">
        <f t="shared" si="234"/>
        <v>383208.65279999992</v>
      </c>
      <c r="BA92" s="30">
        <f t="shared" ref="BA92:BD92" si="235">BA91*$E$92</f>
        <v>425787.39199999999</v>
      </c>
      <c r="BB92" s="30">
        <f t="shared" si="235"/>
        <v>510944.87039999996</v>
      </c>
      <c r="BC92" s="30">
        <f t="shared" si="235"/>
        <v>596102.34879999992</v>
      </c>
      <c r="BD92" s="30">
        <f t="shared" si="235"/>
        <v>681259.82719999994</v>
      </c>
      <c r="BE92" s="30">
        <f t="shared" ref="BE92:BJ92" si="236">BE91*$E$92</f>
        <v>766417.30559999985</v>
      </c>
      <c r="BF92" s="30">
        <f t="shared" si="236"/>
        <v>851574.78399999999</v>
      </c>
      <c r="BG92" s="30">
        <f t="shared" si="236"/>
        <v>1021889.7407999999</v>
      </c>
      <c r="BH92" s="30">
        <f t="shared" si="236"/>
        <v>1192204.6975999998</v>
      </c>
      <c r="BI92" s="30">
        <f t="shared" si="236"/>
        <v>1362519.6543999999</v>
      </c>
      <c r="BJ92" s="30">
        <f t="shared" si="236"/>
        <v>1532834.6111999997</v>
      </c>
      <c r="BK92" s="30">
        <f t="shared" si="233"/>
        <v>1703149.568</v>
      </c>
      <c r="BL92" s="30">
        <f t="shared" ref="BL92" si="237">BL91*$E$92</f>
        <v>3406299.1359999999</v>
      </c>
      <c r="BM92" s="30">
        <f t="shared" si="233"/>
        <v>6812598.2719999999</v>
      </c>
      <c r="BN92" s="68">
        <f t="shared" si="233"/>
        <v>9044837.5319999997</v>
      </c>
      <c r="BO92" s="45"/>
    </row>
    <row r="93" spans="1:67" x14ac:dyDescent="0.25">
      <c r="A93" s="48" t="s">
        <v>6</v>
      </c>
      <c r="B93" s="24">
        <v>0.2</v>
      </c>
      <c r="C93" s="10">
        <f>$B$21 * B93</f>
        <v>278431200</v>
      </c>
      <c r="D93" s="47"/>
      <c r="E93" s="16"/>
      <c r="F93" s="16"/>
      <c r="G93" s="16"/>
      <c r="H93" s="16"/>
      <c r="I93" s="16"/>
      <c r="J93" s="16"/>
      <c r="K93" s="16"/>
      <c r="L93" s="16"/>
      <c r="M93" s="16"/>
      <c r="N93" s="16"/>
      <c r="O93" s="16"/>
      <c r="P93" s="20">
        <f t="shared" ref="P93:BN93" si="238">P$35*$B$93</f>
        <v>6.25</v>
      </c>
      <c r="Q93" s="21">
        <f t="shared" si="238"/>
        <v>12.5</v>
      </c>
      <c r="R93" s="21">
        <f t="shared" si="238"/>
        <v>25</v>
      </c>
      <c r="S93" s="21">
        <f t="shared" si="238"/>
        <v>50</v>
      </c>
      <c r="T93" s="21">
        <f t="shared" si="238"/>
        <v>100</v>
      </c>
      <c r="U93" s="21">
        <f t="shared" si="238"/>
        <v>200</v>
      </c>
      <c r="V93" s="21">
        <f t="shared" si="238"/>
        <v>400</v>
      </c>
      <c r="W93" s="21">
        <f t="shared" si="238"/>
        <v>800</v>
      </c>
      <c r="X93" s="21">
        <f t="shared" si="238"/>
        <v>1600</v>
      </c>
      <c r="Y93" s="21">
        <f t="shared" si="238"/>
        <v>3200</v>
      </c>
      <c r="Z93" s="21">
        <f t="shared" si="238"/>
        <v>6400</v>
      </c>
      <c r="AA93" s="21">
        <f t="shared" si="238"/>
        <v>12800</v>
      </c>
      <c r="AB93" s="21">
        <f t="shared" si="238"/>
        <v>25600</v>
      </c>
      <c r="AC93" s="21">
        <f t="shared" si="238"/>
        <v>51200</v>
      </c>
      <c r="AD93" s="21">
        <f t="shared" si="238"/>
        <v>102400</v>
      </c>
      <c r="AE93" s="21">
        <f t="shared" si="238"/>
        <v>204800</v>
      </c>
      <c r="AF93" s="21">
        <f t="shared" si="238"/>
        <v>409600</v>
      </c>
      <c r="AG93" s="21">
        <f t="shared" si="238"/>
        <v>819200</v>
      </c>
      <c r="AH93" s="21">
        <f t="shared" si="238"/>
        <v>983040</v>
      </c>
      <c r="AI93" s="21">
        <f t="shared" si="238"/>
        <v>1146880</v>
      </c>
      <c r="AJ93" s="21">
        <f t="shared" si="238"/>
        <v>1310720</v>
      </c>
      <c r="AK93" s="21">
        <f t="shared" si="238"/>
        <v>1474560</v>
      </c>
      <c r="AL93" s="21">
        <f t="shared" si="238"/>
        <v>1638400</v>
      </c>
      <c r="AM93" s="21">
        <f t="shared" si="238"/>
        <v>1966080</v>
      </c>
      <c r="AN93" s="21">
        <f t="shared" si="238"/>
        <v>2293760</v>
      </c>
      <c r="AO93" s="21">
        <f t="shared" si="238"/>
        <v>2621440</v>
      </c>
      <c r="AP93" s="21">
        <f t="shared" si="238"/>
        <v>2949120</v>
      </c>
      <c r="AQ93" s="21">
        <f t="shared" si="238"/>
        <v>3276800</v>
      </c>
      <c r="AR93" s="21">
        <f t="shared" si="238"/>
        <v>3932160</v>
      </c>
      <c r="AS93" s="21">
        <f t="shared" si="238"/>
        <v>4587520</v>
      </c>
      <c r="AT93" s="21">
        <f t="shared" si="238"/>
        <v>5242880</v>
      </c>
      <c r="AU93" s="21">
        <f t="shared" si="238"/>
        <v>5898240</v>
      </c>
      <c r="AV93" s="21">
        <f t="shared" si="238"/>
        <v>6553600</v>
      </c>
      <c r="AW93" s="21">
        <f t="shared" si="238"/>
        <v>7864320</v>
      </c>
      <c r="AX93" s="21">
        <f t="shared" si="238"/>
        <v>9175040</v>
      </c>
      <c r="AY93" s="21">
        <f t="shared" si="238"/>
        <v>10485760</v>
      </c>
      <c r="AZ93" s="21">
        <f t="shared" si="238"/>
        <v>11796480</v>
      </c>
      <c r="BA93" s="21">
        <f t="shared" si="238"/>
        <v>13107200</v>
      </c>
      <c r="BB93" s="21">
        <f t="shared" si="238"/>
        <v>15728640</v>
      </c>
      <c r="BC93" s="21">
        <f t="shared" si="238"/>
        <v>18350080</v>
      </c>
      <c r="BD93" s="21">
        <f t="shared" si="238"/>
        <v>20971520</v>
      </c>
      <c r="BE93" s="21">
        <f t="shared" si="238"/>
        <v>23592960</v>
      </c>
      <c r="BF93" s="21">
        <f t="shared" si="238"/>
        <v>26214400</v>
      </c>
      <c r="BG93" s="21">
        <f t="shared" si="238"/>
        <v>31457280</v>
      </c>
      <c r="BH93" s="21">
        <f t="shared" si="238"/>
        <v>36700160</v>
      </c>
      <c r="BI93" s="21">
        <f t="shared" si="238"/>
        <v>41943040</v>
      </c>
      <c r="BJ93" s="21">
        <f t="shared" si="238"/>
        <v>47185920</v>
      </c>
      <c r="BK93" s="21">
        <f t="shared" si="238"/>
        <v>52428800</v>
      </c>
      <c r="BL93" s="21">
        <f t="shared" si="238"/>
        <v>104857600</v>
      </c>
      <c r="BM93" s="21">
        <f t="shared" si="238"/>
        <v>209715200</v>
      </c>
      <c r="BN93" s="69">
        <f t="shared" si="238"/>
        <v>278431200</v>
      </c>
      <c r="BO93" s="45"/>
    </row>
    <row r="94" spans="1:67" x14ac:dyDescent="0.25">
      <c r="A94" s="48"/>
      <c r="B94" s="16"/>
      <c r="C94" s="16"/>
      <c r="D94" s="25"/>
      <c r="E94" s="46">
        <v>6.3E-2</v>
      </c>
      <c r="F94" s="16"/>
      <c r="G94" s="16"/>
      <c r="H94" s="16"/>
      <c r="I94" s="16"/>
      <c r="J94" s="16"/>
      <c r="K94" s="16"/>
      <c r="L94" s="16"/>
      <c r="M94" s="16"/>
      <c r="N94" s="16"/>
      <c r="O94" s="16"/>
      <c r="P94" s="29">
        <f t="shared" ref="P94:AF94" si="239">P93*$E$94</f>
        <v>0.39374999999999999</v>
      </c>
      <c r="Q94" s="30">
        <f t="shared" si="239"/>
        <v>0.78749999999999998</v>
      </c>
      <c r="R94" s="30">
        <f t="shared" si="239"/>
        <v>1.575</v>
      </c>
      <c r="S94" s="30">
        <f t="shared" si="239"/>
        <v>3.15</v>
      </c>
      <c r="T94" s="30">
        <f t="shared" si="239"/>
        <v>6.3</v>
      </c>
      <c r="U94" s="30">
        <f t="shared" si="239"/>
        <v>12.6</v>
      </c>
      <c r="V94" s="30">
        <f t="shared" si="239"/>
        <v>25.2</v>
      </c>
      <c r="W94" s="30">
        <f t="shared" si="239"/>
        <v>50.4</v>
      </c>
      <c r="X94" s="30">
        <f t="shared" si="239"/>
        <v>100.8</v>
      </c>
      <c r="Y94" s="30">
        <f t="shared" si="239"/>
        <v>201.6</v>
      </c>
      <c r="Z94" s="30">
        <f t="shared" si="239"/>
        <v>403.2</v>
      </c>
      <c r="AA94" s="30">
        <f t="shared" si="239"/>
        <v>806.4</v>
      </c>
      <c r="AB94" s="30">
        <f t="shared" si="239"/>
        <v>1612.8</v>
      </c>
      <c r="AC94" s="30">
        <f t="shared" si="239"/>
        <v>3225.6</v>
      </c>
      <c r="AD94" s="30">
        <f t="shared" si="239"/>
        <v>6451.2</v>
      </c>
      <c r="AE94" s="30">
        <f t="shared" si="239"/>
        <v>12902.4</v>
      </c>
      <c r="AF94" s="30">
        <f t="shared" si="239"/>
        <v>25804.799999999999</v>
      </c>
      <c r="AG94" s="30">
        <f>AG93*$E$94</f>
        <v>51609.599999999999</v>
      </c>
      <c r="AH94" s="30">
        <f t="shared" ref="AH94:AK94" si="240">AH93*$E$94</f>
        <v>61931.520000000004</v>
      </c>
      <c r="AI94" s="30">
        <f t="shared" si="240"/>
        <v>72253.440000000002</v>
      </c>
      <c r="AJ94" s="30">
        <f t="shared" si="240"/>
        <v>82575.360000000001</v>
      </c>
      <c r="AK94" s="30">
        <f t="shared" si="240"/>
        <v>92897.279999999999</v>
      </c>
      <c r="AL94" s="30">
        <f>AL93*$E$94</f>
        <v>103219.2</v>
      </c>
      <c r="AM94" s="30">
        <f t="shared" ref="AM94:AP94" si="241">AM93*$E$94</f>
        <v>123863.04000000001</v>
      </c>
      <c r="AN94" s="30">
        <f t="shared" si="241"/>
        <v>144506.88</v>
      </c>
      <c r="AO94" s="30">
        <f t="shared" si="241"/>
        <v>165150.72</v>
      </c>
      <c r="AP94" s="30">
        <f t="shared" si="241"/>
        <v>185794.56</v>
      </c>
      <c r="AQ94" s="30">
        <f>AQ93*$E$94</f>
        <v>206438.39999999999</v>
      </c>
      <c r="AR94" s="30">
        <f t="shared" ref="AR94:AU94" si="242">AR93*$E$94</f>
        <v>247726.08000000002</v>
      </c>
      <c r="AS94" s="30">
        <f t="shared" si="242"/>
        <v>289013.76000000001</v>
      </c>
      <c r="AT94" s="30">
        <f t="shared" si="242"/>
        <v>330301.44</v>
      </c>
      <c r="AU94" s="30">
        <f t="shared" si="242"/>
        <v>371589.12</v>
      </c>
      <c r="AV94" s="30">
        <f t="shared" ref="AV94:BN94" si="243">AV93*$E$94</f>
        <v>412876.79999999999</v>
      </c>
      <c r="AW94" s="30">
        <f t="shared" ref="AW94:AZ94" si="244">AW93*$E$94</f>
        <v>495452.16000000003</v>
      </c>
      <c r="AX94" s="30">
        <f t="shared" si="244"/>
        <v>578027.52000000002</v>
      </c>
      <c r="AY94" s="30">
        <f t="shared" si="244"/>
        <v>660602.88</v>
      </c>
      <c r="AZ94" s="30">
        <f t="shared" si="244"/>
        <v>743178.23999999999</v>
      </c>
      <c r="BA94" s="30">
        <f t="shared" ref="BA94:BD94" si="245">BA93*$E$94</f>
        <v>825753.59999999998</v>
      </c>
      <c r="BB94" s="30">
        <f t="shared" si="245"/>
        <v>990904.32000000007</v>
      </c>
      <c r="BC94" s="30">
        <f t="shared" si="245"/>
        <v>1156055.04</v>
      </c>
      <c r="BD94" s="30">
        <f t="shared" si="245"/>
        <v>1321205.76</v>
      </c>
      <c r="BE94" s="30">
        <f t="shared" ref="BE94:BJ94" si="246">BE93*$E$94</f>
        <v>1486356.48</v>
      </c>
      <c r="BF94" s="30">
        <f t="shared" si="246"/>
        <v>1651507.2</v>
      </c>
      <c r="BG94" s="30">
        <f t="shared" si="246"/>
        <v>1981808.6400000001</v>
      </c>
      <c r="BH94" s="30">
        <f t="shared" si="246"/>
        <v>2312110.0800000001</v>
      </c>
      <c r="BI94" s="30">
        <f t="shared" si="246"/>
        <v>2642411.52</v>
      </c>
      <c r="BJ94" s="30">
        <f t="shared" si="246"/>
        <v>2972712.96</v>
      </c>
      <c r="BK94" s="30">
        <f t="shared" si="243"/>
        <v>3303014.3999999999</v>
      </c>
      <c r="BL94" s="30">
        <f t="shared" ref="BL94" si="247">BL93*$E$94</f>
        <v>6606028.7999999998</v>
      </c>
      <c r="BM94" s="30">
        <f t="shared" si="243"/>
        <v>13212057.6</v>
      </c>
      <c r="BN94" s="68">
        <f t="shared" si="243"/>
        <v>17541165.600000001</v>
      </c>
      <c r="BO94" s="45"/>
    </row>
    <row r="95" spans="1:67" x14ac:dyDescent="0.25">
      <c r="A95" s="48" t="s">
        <v>7</v>
      </c>
      <c r="B95" s="24">
        <v>0.29799999999999999</v>
      </c>
      <c r="C95" s="10">
        <f>$B$21 * B95</f>
        <v>414862488</v>
      </c>
      <c r="D95" s="47"/>
      <c r="E95" s="16"/>
      <c r="F95" s="16"/>
      <c r="G95" s="16"/>
      <c r="H95" s="16"/>
      <c r="I95" s="16"/>
      <c r="J95" s="16"/>
      <c r="K95" s="16"/>
      <c r="L95" s="16"/>
      <c r="M95" s="16"/>
      <c r="N95" s="16"/>
      <c r="O95" s="16"/>
      <c r="P95" s="20">
        <f t="shared" ref="P95:BN95" si="248">P$35*$B$95</f>
        <v>9.3125</v>
      </c>
      <c r="Q95" s="21">
        <f t="shared" si="248"/>
        <v>18.625</v>
      </c>
      <c r="R95" s="21">
        <f t="shared" si="248"/>
        <v>37.25</v>
      </c>
      <c r="S95" s="21">
        <f t="shared" si="248"/>
        <v>74.5</v>
      </c>
      <c r="T95" s="21">
        <f t="shared" si="248"/>
        <v>149</v>
      </c>
      <c r="U95" s="21">
        <f t="shared" si="248"/>
        <v>298</v>
      </c>
      <c r="V95" s="21">
        <f t="shared" si="248"/>
        <v>596</v>
      </c>
      <c r="W95" s="21">
        <f t="shared" si="248"/>
        <v>1192</v>
      </c>
      <c r="X95" s="21">
        <f t="shared" si="248"/>
        <v>2384</v>
      </c>
      <c r="Y95" s="21">
        <f t="shared" si="248"/>
        <v>4768</v>
      </c>
      <c r="Z95" s="21">
        <f t="shared" si="248"/>
        <v>9536</v>
      </c>
      <c r="AA95" s="21">
        <f t="shared" si="248"/>
        <v>19072</v>
      </c>
      <c r="AB95" s="21">
        <f t="shared" si="248"/>
        <v>38144</v>
      </c>
      <c r="AC95" s="21">
        <f t="shared" si="248"/>
        <v>76288</v>
      </c>
      <c r="AD95" s="21">
        <f t="shared" si="248"/>
        <v>152576</v>
      </c>
      <c r="AE95" s="21">
        <f t="shared" si="248"/>
        <v>305152</v>
      </c>
      <c r="AF95" s="21">
        <f t="shared" si="248"/>
        <v>610304</v>
      </c>
      <c r="AG95" s="21">
        <f t="shared" si="248"/>
        <v>1220608</v>
      </c>
      <c r="AH95" s="21">
        <f t="shared" si="248"/>
        <v>1464729.5999999999</v>
      </c>
      <c r="AI95" s="21">
        <f t="shared" si="248"/>
        <v>1708851.2</v>
      </c>
      <c r="AJ95" s="21">
        <f t="shared" si="248"/>
        <v>1952972.7999999998</v>
      </c>
      <c r="AK95" s="21">
        <f t="shared" si="248"/>
        <v>2197094.3999999999</v>
      </c>
      <c r="AL95" s="21">
        <f t="shared" si="248"/>
        <v>2441216</v>
      </c>
      <c r="AM95" s="21">
        <f t="shared" si="248"/>
        <v>2929459.1999999997</v>
      </c>
      <c r="AN95" s="21">
        <f t="shared" si="248"/>
        <v>3417702.3999999999</v>
      </c>
      <c r="AO95" s="21">
        <f t="shared" si="248"/>
        <v>3905945.5999999996</v>
      </c>
      <c r="AP95" s="21">
        <f t="shared" si="248"/>
        <v>4394188.7999999998</v>
      </c>
      <c r="AQ95" s="21">
        <f t="shared" si="248"/>
        <v>4882432</v>
      </c>
      <c r="AR95" s="21">
        <f t="shared" si="248"/>
        <v>5858918.3999999994</v>
      </c>
      <c r="AS95" s="21">
        <f t="shared" si="248"/>
        <v>6835404.7999999998</v>
      </c>
      <c r="AT95" s="21">
        <f t="shared" si="248"/>
        <v>7811891.1999999993</v>
      </c>
      <c r="AU95" s="21">
        <f t="shared" si="248"/>
        <v>8788377.5999999996</v>
      </c>
      <c r="AV95" s="21">
        <f t="shared" si="248"/>
        <v>9764864</v>
      </c>
      <c r="AW95" s="21">
        <f t="shared" si="248"/>
        <v>11717836.799999999</v>
      </c>
      <c r="AX95" s="21">
        <f t="shared" si="248"/>
        <v>13670809.6</v>
      </c>
      <c r="AY95" s="21">
        <f t="shared" si="248"/>
        <v>15623782.399999999</v>
      </c>
      <c r="AZ95" s="21">
        <f t="shared" si="248"/>
        <v>17576755.199999999</v>
      </c>
      <c r="BA95" s="21">
        <f t="shared" si="248"/>
        <v>19529728</v>
      </c>
      <c r="BB95" s="21">
        <f t="shared" si="248"/>
        <v>23435673.599999998</v>
      </c>
      <c r="BC95" s="21">
        <f t="shared" si="248"/>
        <v>27341619.199999999</v>
      </c>
      <c r="BD95" s="21">
        <f t="shared" si="248"/>
        <v>31247564.799999997</v>
      </c>
      <c r="BE95" s="21">
        <f t="shared" si="248"/>
        <v>35153510.399999999</v>
      </c>
      <c r="BF95" s="21">
        <f t="shared" si="248"/>
        <v>39059456</v>
      </c>
      <c r="BG95" s="21">
        <f t="shared" si="248"/>
        <v>46871347.199999996</v>
      </c>
      <c r="BH95" s="21">
        <f t="shared" si="248"/>
        <v>54683238.399999999</v>
      </c>
      <c r="BI95" s="21">
        <f t="shared" si="248"/>
        <v>62495129.599999994</v>
      </c>
      <c r="BJ95" s="21">
        <f t="shared" si="248"/>
        <v>70307020.799999997</v>
      </c>
      <c r="BK95" s="21">
        <f t="shared" si="248"/>
        <v>78118912</v>
      </c>
      <c r="BL95" s="21">
        <f t="shared" si="248"/>
        <v>156237824</v>
      </c>
      <c r="BM95" s="21">
        <f t="shared" si="248"/>
        <v>312475648</v>
      </c>
      <c r="BN95" s="69">
        <f t="shared" si="248"/>
        <v>414862488</v>
      </c>
      <c r="BO95" s="45"/>
    </row>
    <row r="96" spans="1:67" x14ac:dyDescent="0.25">
      <c r="A96" s="48"/>
      <c r="B96" s="16"/>
      <c r="C96" s="16"/>
      <c r="D96" s="25"/>
      <c r="E96" s="46">
        <v>0.06</v>
      </c>
      <c r="F96" s="16"/>
      <c r="G96" s="16"/>
      <c r="H96" s="16"/>
      <c r="I96" s="16"/>
      <c r="J96" s="16"/>
      <c r="K96" s="16"/>
      <c r="L96" s="16"/>
      <c r="M96" s="16"/>
      <c r="N96" s="16"/>
      <c r="O96" s="16"/>
      <c r="P96" s="29">
        <f t="shared" ref="P96:AF96" si="249">P95*$E$96</f>
        <v>0.55874999999999997</v>
      </c>
      <c r="Q96" s="30">
        <f t="shared" si="249"/>
        <v>1.1174999999999999</v>
      </c>
      <c r="R96" s="30">
        <f t="shared" si="249"/>
        <v>2.2349999999999999</v>
      </c>
      <c r="S96" s="30">
        <f t="shared" si="249"/>
        <v>4.47</v>
      </c>
      <c r="T96" s="30">
        <f t="shared" si="249"/>
        <v>8.94</v>
      </c>
      <c r="U96" s="30">
        <f t="shared" si="249"/>
        <v>17.88</v>
      </c>
      <c r="V96" s="30">
        <f t="shared" si="249"/>
        <v>35.76</v>
      </c>
      <c r="W96" s="30">
        <f t="shared" si="249"/>
        <v>71.52</v>
      </c>
      <c r="X96" s="30">
        <f t="shared" si="249"/>
        <v>143.04</v>
      </c>
      <c r="Y96" s="30">
        <f t="shared" si="249"/>
        <v>286.08</v>
      </c>
      <c r="Z96" s="30">
        <f t="shared" si="249"/>
        <v>572.16</v>
      </c>
      <c r="AA96" s="30">
        <f t="shared" si="249"/>
        <v>1144.32</v>
      </c>
      <c r="AB96" s="30">
        <f t="shared" si="249"/>
        <v>2288.64</v>
      </c>
      <c r="AC96" s="30">
        <f t="shared" si="249"/>
        <v>4577.28</v>
      </c>
      <c r="AD96" s="30">
        <f t="shared" si="249"/>
        <v>9154.56</v>
      </c>
      <c r="AE96" s="30">
        <f t="shared" si="249"/>
        <v>18309.12</v>
      </c>
      <c r="AF96" s="30">
        <f t="shared" si="249"/>
        <v>36618.239999999998</v>
      </c>
      <c r="AG96" s="30">
        <f>AG95*$E$96</f>
        <v>73236.479999999996</v>
      </c>
      <c r="AH96" s="30">
        <f t="shared" ref="AH96:AK96" si="250">AH95*$E$96</f>
        <v>87883.775999999983</v>
      </c>
      <c r="AI96" s="30">
        <f t="shared" si="250"/>
        <v>102531.072</v>
      </c>
      <c r="AJ96" s="30">
        <f t="shared" si="250"/>
        <v>117178.36799999999</v>
      </c>
      <c r="AK96" s="30">
        <f t="shared" si="250"/>
        <v>131825.66399999999</v>
      </c>
      <c r="AL96" s="30">
        <f>AL95*$E$96</f>
        <v>146472.95999999999</v>
      </c>
      <c r="AM96" s="30">
        <f t="shared" ref="AM96:AP96" si="251">AM95*$E$96</f>
        <v>175767.55199999997</v>
      </c>
      <c r="AN96" s="30">
        <f t="shared" si="251"/>
        <v>205062.144</v>
      </c>
      <c r="AO96" s="30">
        <f t="shared" si="251"/>
        <v>234356.73599999998</v>
      </c>
      <c r="AP96" s="30">
        <f t="shared" si="251"/>
        <v>263651.32799999998</v>
      </c>
      <c r="AQ96" s="30">
        <f>AQ95*$E$96</f>
        <v>292945.91999999998</v>
      </c>
      <c r="AR96" s="30">
        <f t="shared" ref="AR96:AU96" si="252">AR95*$E$96</f>
        <v>351535.10399999993</v>
      </c>
      <c r="AS96" s="30">
        <f t="shared" si="252"/>
        <v>410124.288</v>
      </c>
      <c r="AT96" s="30">
        <f t="shared" si="252"/>
        <v>468713.47199999995</v>
      </c>
      <c r="AU96" s="30">
        <f t="shared" si="252"/>
        <v>527302.65599999996</v>
      </c>
      <c r="AV96" s="30">
        <f t="shared" ref="AV96:BN96" si="253">AV95*$E$96</f>
        <v>585891.83999999997</v>
      </c>
      <c r="AW96" s="30">
        <f t="shared" ref="AW96:AZ96" si="254">AW95*$E$96</f>
        <v>703070.20799999987</v>
      </c>
      <c r="AX96" s="30">
        <f t="shared" si="254"/>
        <v>820248.576</v>
      </c>
      <c r="AY96" s="30">
        <f t="shared" si="254"/>
        <v>937426.9439999999</v>
      </c>
      <c r="AZ96" s="30">
        <f t="shared" si="254"/>
        <v>1054605.3119999999</v>
      </c>
      <c r="BA96" s="30">
        <f t="shared" ref="BA96:BD96" si="255">BA95*$E$96</f>
        <v>1171783.6799999999</v>
      </c>
      <c r="BB96" s="30">
        <f t="shared" si="255"/>
        <v>1406140.4159999997</v>
      </c>
      <c r="BC96" s="30">
        <f t="shared" si="255"/>
        <v>1640497.152</v>
      </c>
      <c r="BD96" s="30">
        <f t="shared" si="255"/>
        <v>1874853.8879999998</v>
      </c>
      <c r="BE96" s="30">
        <f t="shared" ref="BE96:BJ96" si="256">BE95*$E$96</f>
        <v>2109210.6239999998</v>
      </c>
      <c r="BF96" s="30">
        <f t="shared" si="256"/>
        <v>2343567.3599999999</v>
      </c>
      <c r="BG96" s="30">
        <f t="shared" si="256"/>
        <v>2812280.8319999995</v>
      </c>
      <c r="BH96" s="30">
        <f t="shared" si="256"/>
        <v>3280994.304</v>
      </c>
      <c r="BI96" s="30">
        <f t="shared" si="256"/>
        <v>3749707.7759999996</v>
      </c>
      <c r="BJ96" s="30">
        <f t="shared" si="256"/>
        <v>4218421.2479999997</v>
      </c>
      <c r="BK96" s="30">
        <f t="shared" si="253"/>
        <v>4687134.7199999997</v>
      </c>
      <c r="BL96" s="30">
        <f t="shared" ref="BL96" si="257">BL95*$E$96</f>
        <v>9374269.4399999995</v>
      </c>
      <c r="BM96" s="30">
        <f t="shared" si="253"/>
        <v>18748538.879999999</v>
      </c>
      <c r="BN96" s="68">
        <f t="shared" si="253"/>
        <v>24891749.279999997</v>
      </c>
      <c r="BO96" s="45"/>
    </row>
    <row r="97" spans="1:67" x14ac:dyDescent="0.25">
      <c r="A97" s="48" t="s">
        <v>8</v>
      </c>
      <c r="B97" s="24">
        <v>9.5E-4</v>
      </c>
      <c r="C97" s="10">
        <f>$B$21 * B97</f>
        <v>1322548.2</v>
      </c>
      <c r="D97" s="47"/>
      <c r="E97" s="16"/>
      <c r="F97" s="16"/>
      <c r="G97" s="16"/>
      <c r="H97" s="16"/>
      <c r="I97" s="16"/>
      <c r="J97" s="16"/>
      <c r="K97" s="16"/>
      <c r="L97" s="16"/>
      <c r="M97" s="16"/>
      <c r="N97" s="16"/>
      <c r="O97" s="16"/>
      <c r="P97" s="20">
        <f t="shared" ref="P97:BN97" si="258">P$35*$B$97</f>
        <v>2.9687499999999999E-2</v>
      </c>
      <c r="Q97" s="21">
        <f t="shared" si="258"/>
        <v>5.9374999999999997E-2</v>
      </c>
      <c r="R97" s="21">
        <f t="shared" si="258"/>
        <v>0.11874999999999999</v>
      </c>
      <c r="S97" s="21">
        <f t="shared" si="258"/>
        <v>0.23749999999999999</v>
      </c>
      <c r="T97" s="21">
        <f t="shared" si="258"/>
        <v>0.47499999999999998</v>
      </c>
      <c r="U97" s="21">
        <f t="shared" si="258"/>
        <v>0.95</v>
      </c>
      <c r="V97" s="21">
        <f t="shared" si="258"/>
        <v>1.9</v>
      </c>
      <c r="W97" s="21">
        <f t="shared" si="258"/>
        <v>3.8</v>
      </c>
      <c r="X97" s="21">
        <f t="shared" si="258"/>
        <v>7.6</v>
      </c>
      <c r="Y97" s="21">
        <f t="shared" si="258"/>
        <v>15.2</v>
      </c>
      <c r="Z97" s="21">
        <f t="shared" si="258"/>
        <v>30.4</v>
      </c>
      <c r="AA97" s="21">
        <f t="shared" si="258"/>
        <v>60.8</v>
      </c>
      <c r="AB97" s="21">
        <f t="shared" si="258"/>
        <v>121.6</v>
      </c>
      <c r="AC97" s="21">
        <f t="shared" si="258"/>
        <v>243.2</v>
      </c>
      <c r="AD97" s="21">
        <f t="shared" si="258"/>
        <v>486.4</v>
      </c>
      <c r="AE97" s="21">
        <f t="shared" si="258"/>
        <v>972.8</v>
      </c>
      <c r="AF97" s="21">
        <f t="shared" si="258"/>
        <v>1945.6</v>
      </c>
      <c r="AG97" s="21">
        <f t="shared" si="258"/>
        <v>3891.2</v>
      </c>
      <c r="AH97" s="21">
        <f t="shared" si="258"/>
        <v>4669.4399999999996</v>
      </c>
      <c r="AI97" s="21">
        <f t="shared" si="258"/>
        <v>5447.68</v>
      </c>
      <c r="AJ97" s="21">
        <f t="shared" si="258"/>
        <v>6225.92</v>
      </c>
      <c r="AK97" s="21">
        <f t="shared" si="258"/>
        <v>7004.16</v>
      </c>
      <c r="AL97" s="21">
        <f t="shared" si="258"/>
        <v>7782.4</v>
      </c>
      <c r="AM97" s="21">
        <f t="shared" si="258"/>
        <v>9338.8799999999992</v>
      </c>
      <c r="AN97" s="21">
        <f t="shared" si="258"/>
        <v>10895.36</v>
      </c>
      <c r="AO97" s="21">
        <f t="shared" si="258"/>
        <v>12451.84</v>
      </c>
      <c r="AP97" s="21">
        <f t="shared" si="258"/>
        <v>14008.32</v>
      </c>
      <c r="AQ97" s="21">
        <f t="shared" si="258"/>
        <v>15564.8</v>
      </c>
      <c r="AR97" s="21">
        <f t="shared" si="258"/>
        <v>18677.759999999998</v>
      </c>
      <c r="AS97" s="21">
        <f t="shared" si="258"/>
        <v>21790.720000000001</v>
      </c>
      <c r="AT97" s="21">
        <f t="shared" si="258"/>
        <v>24903.68</v>
      </c>
      <c r="AU97" s="21">
        <f t="shared" si="258"/>
        <v>28016.639999999999</v>
      </c>
      <c r="AV97" s="21">
        <f t="shared" si="258"/>
        <v>31129.599999999999</v>
      </c>
      <c r="AW97" s="21">
        <f t="shared" si="258"/>
        <v>37355.519999999997</v>
      </c>
      <c r="AX97" s="21">
        <f t="shared" si="258"/>
        <v>43581.440000000002</v>
      </c>
      <c r="AY97" s="21">
        <f t="shared" si="258"/>
        <v>49807.360000000001</v>
      </c>
      <c r="AZ97" s="21">
        <f t="shared" si="258"/>
        <v>56033.279999999999</v>
      </c>
      <c r="BA97" s="21">
        <f t="shared" si="258"/>
        <v>62259.199999999997</v>
      </c>
      <c r="BB97" s="21">
        <f t="shared" si="258"/>
        <v>74711.039999999994</v>
      </c>
      <c r="BC97" s="21">
        <f t="shared" si="258"/>
        <v>87162.880000000005</v>
      </c>
      <c r="BD97" s="21">
        <f t="shared" si="258"/>
        <v>99614.720000000001</v>
      </c>
      <c r="BE97" s="21">
        <f t="shared" si="258"/>
        <v>112066.56</v>
      </c>
      <c r="BF97" s="21">
        <f t="shared" si="258"/>
        <v>124518.39999999999</v>
      </c>
      <c r="BG97" s="21">
        <f t="shared" si="258"/>
        <v>149422.07999999999</v>
      </c>
      <c r="BH97" s="21">
        <f t="shared" si="258"/>
        <v>174325.76000000001</v>
      </c>
      <c r="BI97" s="21">
        <f t="shared" si="258"/>
        <v>199229.44</v>
      </c>
      <c r="BJ97" s="21">
        <f t="shared" si="258"/>
        <v>224133.12</v>
      </c>
      <c r="BK97" s="21">
        <f t="shared" si="258"/>
        <v>249036.79999999999</v>
      </c>
      <c r="BL97" s="21">
        <f t="shared" si="258"/>
        <v>498073.59999999998</v>
      </c>
      <c r="BM97" s="21">
        <f t="shared" si="258"/>
        <v>996147.19999999995</v>
      </c>
      <c r="BN97" s="69">
        <f t="shared" si="258"/>
        <v>1322548.2</v>
      </c>
      <c r="BO97" s="45"/>
    </row>
    <row r="98" spans="1:67" x14ac:dyDescent="0.25">
      <c r="A98" s="48"/>
      <c r="B98" s="16"/>
      <c r="C98" s="16"/>
      <c r="D98" s="25"/>
      <c r="E98" s="46">
        <v>5.6000000000000001E-2</v>
      </c>
      <c r="F98" s="16"/>
      <c r="G98" s="16"/>
      <c r="H98" s="16"/>
      <c r="I98" s="16"/>
      <c r="J98" s="16"/>
      <c r="K98" s="16"/>
      <c r="L98" s="16"/>
      <c r="M98" s="16"/>
      <c r="N98" s="16"/>
      <c r="O98" s="16"/>
      <c r="P98" s="29">
        <f t="shared" ref="P98:AF98" si="259">P97*$E$98</f>
        <v>1.6624999999999999E-3</v>
      </c>
      <c r="Q98" s="30">
        <f t="shared" si="259"/>
        <v>3.3249999999999998E-3</v>
      </c>
      <c r="R98" s="30">
        <f t="shared" si="259"/>
        <v>6.6499999999999997E-3</v>
      </c>
      <c r="S98" s="30">
        <f t="shared" si="259"/>
        <v>1.3299999999999999E-2</v>
      </c>
      <c r="T98" s="30">
        <f t="shared" si="259"/>
        <v>2.6599999999999999E-2</v>
      </c>
      <c r="U98" s="30">
        <f t="shared" si="259"/>
        <v>5.3199999999999997E-2</v>
      </c>
      <c r="V98" s="30">
        <f t="shared" si="259"/>
        <v>0.10639999999999999</v>
      </c>
      <c r="W98" s="30">
        <f t="shared" si="259"/>
        <v>0.21279999999999999</v>
      </c>
      <c r="X98" s="30">
        <f t="shared" si="259"/>
        <v>0.42559999999999998</v>
      </c>
      <c r="Y98" s="30">
        <f t="shared" si="259"/>
        <v>0.85119999999999996</v>
      </c>
      <c r="Z98" s="30">
        <f t="shared" si="259"/>
        <v>1.7023999999999999</v>
      </c>
      <c r="AA98" s="30">
        <f t="shared" si="259"/>
        <v>3.4047999999999998</v>
      </c>
      <c r="AB98" s="30">
        <f t="shared" si="259"/>
        <v>6.8095999999999997</v>
      </c>
      <c r="AC98" s="30">
        <f t="shared" si="259"/>
        <v>13.619199999999999</v>
      </c>
      <c r="AD98" s="30">
        <f t="shared" si="259"/>
        <v>27.238399999999999</v>
      </c>
      <c r="AE98" s="30">
        <f t="shared" si="259"/>
        <v>54.476799999999997</v>
      </c>
      <c r="AF98" s="30">
        <f t="shared" si="259"/>
        <v>108.95359999999999</v>
      </c>
      <c r="AG98" s="30">
        <f>AG97*$E$98</f>
        <v>217.90719999999999</v>
      </c>
      <c r="AH98" s="30">
        <f t="shared" ref="AH98:AK98" si="260">AH97*$E$98</f>
        <v>261.48863999999998</v>
      </c>
      <c r="AI98" s="30">
        <f t="shared" si="260"/>
        <v>305.07008000000002</v>
      </c>
      <c r="AJ98" s="30">
        <f t="shared" si="260"/>
        <v>348.65152</v>
      </c>
      <c r="AK98" s="30">
        <f t="shared" si="260"/>
        <v>392.23295999999999</v>
      </c>
      <c r="AL98" s="30">
        <f>AL97*$E$98</f>
        <v>435.81439999999998</v>
      </c>
      <c r="AM98" s="30">
        <f t="shared" ref="AM98:AP98" si="261">AM97*$E$98</f>
        <v>522.97727999999995</v>
      </c>
      <c r="AN98" s="30">
        <f t="shared" si="261"/>
        <v>610.14016000000004</v>
      </c>
      <c r="AO98" s="30">
        <f t="shared" si="261"/>
        <v>697.30304000000001</v>
      </c>
      <c r="AP98" s="30">
        <f t="shared" si="261"/>
        <v>784.46591999999998</v>
      </c>
      <c r="AQ98" s="30">
        <f>AQ97*$E$98</f>
        <v>871.62879999999996</v>
      </c>
      <c r="AR98" s="30">
        <f t="shared" ref="AR98:AU98" si="262">AR97*$E$98</f>
        <v>1045.9545599999999</v>
      </c>
      <c r="AS98" s="30">
        <f t="shared" si="262"/>
        <v>1220.2803200000001</v>
      </c>
      <c r="AT98" s="30">
        <f t="shared" si="262"/>
        <v>1394.60608</v>
      </c>
      <c r="AU98" s="30">
        <f t="shared" si="262"/>
        <v>1568.93184</v>
      </c>
      <c r="AV98" s="30">
        <f t="shared" ref="AV98:BN98" si="263">AV97*$E$98</f>
        <v>1743.2575999999999</v>
      </c>
      <c r="AW98" s="30">
        <f t="shared" ref="AW98:AZ98" si="264">AW97*$E$98</f>
        <v>2091.9091199999998</v>
      </c>
      <c r="AX98" s="30">
        <f t="shared" si="264"/>
        <v>2440.5606400000001</v>
      </c>
      <c r="AY98" s="30">
        <f t="shared" si="264"/>
        <v>2789.21216</v>
      </c>
      <c r="AZ98" s="30">
        <f t="shared" si="264"/>
        <v>3137.8636799999999</v>
      </c>
      <c r="BA98" s="30">
        <f t="shared" ref="BA98:BD98" si="265">BA97*$E$98</f>
        <v>3486.5151999999998</v>
      </c>
      <c r="BB98" s="30">
        <f t="shared" si="265"/>
        <v>4183.8182399999996</v>
      </c>
      <c r="BC98" s="30">
        <f t="shared" si="265"/>
        <v>4881.1212800000003</v>
      </c>
      <c r="BD98" s="30">
        <f t="shared" si="265"/>
        <v>5578.4243200000001</v>
      </c>
      <c r="BE98" s="30">
        <f t="shared" ref="BE98:BJ98" si="266">BE97*$E$98</f>
        <v>6275.7273599999999</v>
      </c>
      <c r="BF98" s="30">
        <f t="shared" si="266"/>
        <v>6973.0303999999996</v>
      </c>
      <c r="BG98" s="30">
        <f t="shared" si="266"/>
        <v>8367.6364799999992</v>
      </c>
      <c r="BH98" s="30">
        <f t="shared" si="266"/>
        <v>9762.2425600000006</v>
      </c>
      <c r="BI98" s="30">
        <f t="shared" si="266"/>
        <v>11156.84864</v>
      </c>
      <c r="BJ98" s="30">
        <f t="shared" si="266"/>
        <v>12551.45472</v>
      </c>
      <c r="BK98" s="30">
        <f t="shared" si="263"/>
        <v>13946.060799999999</v>
      </c>
      <c r="BL98" s="30">
        <f t="shared" ref="BL98" si="267">BL97*$E$98</f>
        <v>27892.121599999999</v>
      </c>
      <c r="BM98" s="30">
        <f t="shared" si="263"/>
        <v>55784.243199999997</v>
      </c>
      <c r="BN98" s="68">
        <f t="shared" si="263"/>
        <v>74062.699200000003</v>
      </c>
      <c r="BO98" s="45"/>
    </row>
    <row r="99" spans="1:67" x14ac:dyDescent="0.25">
      <c r="A99" s="48" t="s">
        <v>9</v>
      </c>
      <c r="B99" s="24">
        <v>0.14000000000000001</v>
      </c>
      <c r="C99" s="10">
        <f>$B$21 * B99</f>
        <v>194901840.00000003</v>
      </c>
      <c r="D99" s="47"/>
      <c r="E99" s="16"/>
      <c r="F99" s="16"/>
      <c r="G99" s="16"/>
      <c r="H99" s="16"/>
      <c r="I99" s="16"/>
      <c r="J99" s="16"/>
      <c r="K99" s="16"/>
      <c r="L99" s="16"/>
      <c r="M99" s="16"/>
      <c r="N99" s="16"/>
      <c r="O99" s="16"/>
      <c r="P99" s="20">
        <f t="shared" ref="P99:BN99" si="268">P$35*$B$99</f>
        <v>4.375</v>
      </c>
      <c r="Q99" s="21">
        <f t="shared" si="268"/>
        <v>8.75</v>
      </c>
      <c r="R99" s="21">
        <f t="shared" si="268"/>
        <v>17.5</v>
      </c>
      <c r="S99" s="21">
        <f t="shared" si="268"/>
        <v>35</v>
      </c>
      <c r="T99" s="21">
        <f t="shared" si="268"/>
        <v>70</v>
      </c>
      <c r="U99" s="21">
        <f t="shared" si="268"/>
        <v>140</v>
      </c>
      <c r="V99" s="21">
        <f t="shared" si="268"/>
        <v>280</v>
      </c>
      <c r="W99" s="21">
        <f t="shared" si="268"/>
        <v>560</v>
      </c>
      <c r="X99" s="21">
        <f t="shared" si="268"/>
        <v>1120</v>
      </c>
      <c r="Y99" s="21">
        <f t="shared" si="268"/>
        <v>2240</v>
      </c>
      <c r="Z99" s="21">
        <f t="shared" si="268"/>
        <v>4480</v>
      </c>
      <c r="AA99" s="21">
        <f t="shared" si="268"/>
        <v>8960</v>
      </c>
      <c r="AB99" s="21">
        <f t="shared" si="268"/>
        <v>17920</v>
      </c>
      <c r="AC99" s="21">
        <f t="shared" si="268"/>
        <v>35840</v>
      </c>
      <c r="AD99" s="21">
        <f t="shared" si="268"/>
        <v>71680</v>
      </c>
      <c r="AE99" s="21">
        <f t="shared" si="268"/>
        <v>143360</v>
      </c>
      <c r="AF99" s="21">
        <f t="shared" si="268"/>
        <v>286720</v>
      </c>
      <c r="AG99" s="21">
        <f t="shared" si="268"/>
        <v>573440</v>
      </c>
      <c r="AH99" s="21">
        <f t="shared" si="268"/>
        <v>688128.00000000012</v>
      </c>
      <c r="AI99" s="21">
        <f t="shared" si="268"/>
        <v>802816.00000000012</v>
      </c>
      <c r="AJ99" s="21">
        <f t="shared" si="268"/>
        <v>917504.00000000012</v>
      </c>
      <c r="AK99" s="21">
        <f t="shared" si="268"/>
        <v>1032192.0000000001</v>
      </c>
      <c r="AL99" s="21">
        <f t="shared" si="268"/>
        <v>1146880</v>
      </c>
      <c r="AM99" s="21">
        <f t="shared" si="268"/>
        <v>1376256.0000000002</v>
      </c>
      <c r="AN99" s="21">
        <f t="shared" si="268"/>
        <v>1605632.0000000002</v>
      </c>
      <c r="AO99" s="21">
        <f t="shared" si="268"/>
        <v>1835008.0000000002</v>
      </c>
      <c r="AP99" s="21">
        <f t="shared" si="268"/>
        <v>2064384.0000000002</v>
      </c>
      <c r="AQ99" s="21">
        <f t="shared" si="268"/>
        <v>2293760</v>
      </c>
      <c r="AR99" s="21">
        <f t="shared" si="268"/>
        <v>2752512.0000000005</v>
      </c>
      <c r="AS99" s="21">
        <f t="shared" si="268"/>
        <v>3211264.0000000005</v>
      </c>
      <c r="AT99" s="21">
        <f t="shared" si="268"/>
        <v>3670016.0000000005</v>
      </c>
      <c r="AU99" s="21">
        <f t="shared" si="268"/>
        <v>4128768.0000000005</v>
      </c>
      <c r="AV99" s="21">
        <f t="shared" si="268"/>
        <v>4587520</v>
      </c>
      <c r="AW99" s="21">
        <f t="shared" si="268"/>
        <v>5505024.0000000009</v>
      </c>
      <c r="AX99" s="21">
        <f t="shared" si="268"/>
        <v>6422528.0000000009</v>
      </c>
      <c r="AY99" s="21">
        <f t="shared" si="268"/>
        <v>7340032.0000000009</v>
      </c>
      <c r="AZ99" s="21">
        <f t="shared" si="268"/>
        <v>8257536.0000000009</v>
      </c>
      <c r="BA99" s="21">
        <f t="shared" si="268"/>
        <v>9175040</v>
      </c>
      <c r="BB99" s="21">
        <f t="shared" si="268"/>
        <v>11010048.000000002</v>
      </c>
      <c r="BC99" s="21">
        <f t="shared" si="268"/>
        <v>12845056.000000002</v>
      </c>
      <c r="BD99" s="21">
        <f t="shared" si="268"/>
        <v>14680064.000000002</v>
      </c>
      <c r="BE99" s="21">
        <f t="shared" si="268"/>
        <v>16515072.000000002</v>
      </c>
      <c r="BF99" s="21">
        <f t="shared" si="268"/>
        <v>18350080</v>
      </c>
      <c r="BG99" s="21">
        <f t="shared" si="268"/>
        <v>22020096.000000004</v>
      </c>
      <c r="BH99" s="21">
        <f t="shared" si="268"/>
        <v>25690112.000000004</v>
      </c>
      <c r="BI99" s="21">
        <f t="shared" si="268"/>
        <v>29360128.000000004</v>
      </c>
      <c r="BJ99" s="21">
        <f t="shared" si="268"/>
        <v>33030144.000000004</v>
      </c>
      <c r="BK99" s="21">
        <f t="shared" si="268"/>
        <v>36700160</v>
      </c>
      <c r="BL99" s="21">
        <f t="shared" si="268"/>
        <v>73400320</v>
      </c>
      <c r="BM99" s="21">
        <f t="shared" si="268"/>
        <v>146800640</v>
      </c>
      <c r="BN99" s="69">
        <f t="shared" si="268"/>
        <v>194901840.00000003</v>
      </c>
      <c r="BO99" s="45"/>
    </row>
    <row r="100" spans="1:67" x14ac:dyDescent="0.25">
      <c r="A100" s="37"/>
      <c r="B100" s="39"/>
      <c r="C100" s="39"/>
      <c r="D100" s="54"/>
      <c r="E100" s="55" t="s">
        <v>10</v>
      </c>
      <c r="F100" s="39"/>
      <c r="G100" s="39"/>
      <c r="H100" s="39"/>
      <c r="I100" s="39"/>
      <c r="J100" s="39"/>
      <c r="K100" s="39"/>
      <c r="L100" s="39"/>
      <c r="M100" s="39"/>
      <c r="N100" s="39"/>
      <c r="O100" s="39"/>
      <c r="P100" s="29" t="s">
        <v>10</v>
      </c>
      <c r="Q100" s="30" t="s">
        <v>10</v>
      </c>
      <c r="R100" s="30" t="s">
        <v>10</v>
      </c>
      <c r="S100" s="30" t="s">
        <v>10</v>
      </c>
      <c r="T100" s="30" t="s">
        <v>10</v>
      </c>
      <c r="U100" s="30" t="s">
        <v>10</v>
      </c>
      <c r="V100" s="30" t="s">
        <v>10</v>
      </c>
      <c r="W100" s="30" t="s">
        <v>10</v>
      </c>
      <c r="X100" s="30" t="s">
        <v>10</v>
      </c>
      <c r="Y100" s="30" t="s">
        <v>10</v>
      </c>
      <c r="Z100" s="30" t="s">
        <v>10</v>
      </c>
      <c r="AA100" s="30" t="s">
        <v>10</v>
      </c>
      <c r="AB100" s="30" t="s">
        <v>10</v>
      </c>
      <c r="AC100" s="30" t="s">
        <v>10</v>
      </c>
      <c r="AD100" s="30" t="s">
        <v>10</v>
      </c>
      <c r="AE100" s="30" t="s">
        <v>10</v>
      </c>
      <c r="AF100" s="30" t="s">
        <v>10</v>
      </c>
      <c r="AG100" s="30" t="s">
        <v>10</v>
      </c>
      <c r="AH100" s="30" t="s">
        <v>10</v>
      </c>
      <c r="AI100" s="30" t="s">
        <v>10</v>
      </c>
      <c r="AJ100" s="30" t="s">
        <v>10</v>
      </c>
      <c r="AK100" s="30" t="s">
        <v>10</v>
      </c>
      <c r="AL100" s="30" t="s">
        <v>10</v>
      </c>
      <c r="AM100" s="30" t="s">
        <v>10</v>
      </c>
      <c r="AN100" s="30" t="s">
        <v>10</v>
      </c>
      <c r="AO100" s="30" t="s">
        <v>10</v>
      </c>
      <c r="AP100" s="30" t="s">
        <v>10</v>
      </c>
      <c r="AQ100" s="30" t="s">
        <v>10</v>
      </c>
      <c r="AR100" s="30" t="s">
        <v>10</v>
      </c>
      <c r="AS100" s="30" t="s">
        <v>10</v>
      </c>
      <c r="AT100" s="30" t="s">
        <v>10</v>
      </c>
      <c r="AU100" s="30" t="s">
        <v>10</v>
      </c>
      <c r="AV100" s="30" t="s">
        <v>10</v>
      </c>
      <c r="AW100" s="30" t="s">
        <v>10</v>
      </c>
      <c r="AX100" s="30" t="s">
        <v>10</v>
      </c>
      <c r="AY100" s="30" t="s">
        <v>10</v>
      </c>
      <c r="AZ100" s="30" t="s">
        <v>10</v>
      </c>
      <c r="BA100" s="30" t="s">
        <v>10</v>
      </c>
      <c r="BB100" s="30" t="s">
        <v>10</v>
      </c>
      <c r="BC100" s="30" t="s">
        <v>10</v>
      </c>
      <c r="BD100" s="30" t="s">
        <v>10</v>
      </c>
      <c r="BE100" s="30" t="s">
        <v>10</v>
      </c>
      <c r="BF100" s="30" t="s">
        <v>10</v>
      </c>
      <c r="BG100" s="30" t="s">
        <v>10</v>
      </c>
      <c r="BH100" s="30" t="s">
        <v>10</v>
      </c>
      <c r="BI100" s="30" t="s">
        <v>10</v>
      </c>
      <c r="BJ100" s="30" t="s">
        <v>10</v>
      </c>
      <c r="BK100" s="30" t="s">
        <v>10</v>
      </c>
      <c r="BL100" s="30" t="s">
        <v>10</v>
      </c>
      <c r="BM100" s="30" t="s">
        <v>10</v>
      </c>
      <c r="BN100" s="68" t="s">
        <v>10</v>
      </c>
      <c r="BO100" s="45"/>
    </row>
    <row r="101" spans="1:67" x14ac:dyDescent="0.25">
      <c r="A101" s="41" t="s">
        <v>195</v>
      </c>
      <c r="B101" s="16"/>
      <c r="C101" s="16"/>
      <c r="D101" s="47"/>
      <c r="E101" s="16"/>
      <c r="F101" s="16"/>
      <c r="G101" s="16"/>
      <c r="H101" s="16"/>
      <c r="I101" s="16"/>
      <c r="J101" s="16"/>
      <c r="K101" s="16"/>
      <c r="L101" s="16"/>
      <c r="M101" s="16"/>
      <c r="N101" s="16"/>
      <c r="O101" s="16"/>
      <c r="P101" s="18">
        <f>SUM(P89,P91,P93,P95,P97,P99)</f>
        <v>23.967187500000001</v>
      </c>
      <c r="Q101" s="19">
        <f t="shared" ref="Q101:AF101" si="269">SUM(Q89,Q91,Q93,Q95,Q97,Q99)</f>
        <v>47.934375000000003</v>
      </c>
      <c r="R101" s="19">
        <f t="shared" si="269"/>
        <v>95.868750000000006</v>
      </c>
      <c r="S101" s="19">
        <f t="shared" si="269"/>
        <v>191.73750000000001</v>
      </c>
      <c r="T101" s="19">
        <f t="shared" si="269"/>
        <v>383.47500000000002</v>
      </c>
      <c r="U101" s="19">
        <f t="shared" si="269"/>
        <v>766.95</v>
      </c>
      <c r="V101" s="19">
        <f>SUM(V89,V91,V93,V95,V97,V99)</f>
        <v>1533.9</v>
      </c>
      <c r="W101" s="19">
        <f t="shared" si="269"/>
        <v>3067.8</v>
      </c>
      <c r="X101" s="19">
        <f t="shared" si="269"/>
        <v>6135.6</v>
      </c>
      <c r="Y101" s="19">
        <f t="shared" si="269"/>
        <v>12271.2</v>
      </c>
      <c r="Z101" s="19">
        <f t="shared" si="269"/>
        <v>24542.400000000001</v>
      </c>
      <c r="AA101" s="19">
        <f t="shared" si="269"/>
        <v>49084.800000000003</v>
      </c>
      <c r="AB101" s="19">
        <f t="shared" si="269"/>
        <v>98169.600000000006</v>
      </c>
      <c r="AC101" s="19">
        <f t="shared" si="269"/>
        <v>196339.20000000001</v>
      </c>
      <c r="AD101" s="19">
        <f t="shared" si="269"/>
        <v>392678.40000000002</v>
      </c>
      <c r="AE101" s="19">
        <f t="shared" si="269"/>
        <v>785356.80000000005</v>
      </c>
      <c r="AF101" s="19">
        <f t="shared" si="269"/>
        <v>1570713.6000000001</v>
      </c>
      <c r="AG101" s="19">
        <f t="shared" ref="AG101:AQ102" si="270">SUM(AG89,AG91,AG93,AG95,AG97,AG99)</f>
        <v>3141427.2000000002</v>
      </c>
      <c r="AH101" s="19">
        <f t="shared" ref="AH101:AK101" si="271">SUM(AH89,AH91,AH93,AH95,AH97,AH99)</f>
        <v>3769712.6400000001</v>
      </c>
      <c r="AI101" s="19">
        <f t="shared" si="271"/>
        <v>4397998.0800000001</v>
      </c>
      <c r="AJ101" s="19">
        <f t="shared" si="271"/>
        <v>5026283.5199999996</v>
      </c>
      <c r="AK101" s="19">
        <f t="shared" si="271"/>
        <v>5654568.96</v>
      </c>
      <c r="AL101" s="19">
        <f t="shared" si="270"/>
        <v>6282854.4000000004</v>
      </c>
      <c r="AM101" s="19">
        <f t="shared" ref="AM101:AP101" si="272">SUM(AM89,AM91,AM93,AM95,AM97,AM99)</f>
        <v>7539425.2800000003</v>
      </c>
      <c r="AN101" s="19">
        <f t="shared" si="272"/>
        <v>8795996.1600000001</v>
      </c>
      <c r="AO101" s="19">
        <f t="shared" si="272"/>
        <v>10052567.039999999</v>
      </c>
      <c r="AP101" s="19">
        <f t="shared" si="272"/>
        <v>11309137.92</v>
      </c>
      <c r="AQ101" s="19">
        <f t="shared" si="270"/>
        <v>12565708.800000001</v>
      </c>
      <c r="AR101" s="19">
        <f t="shared" ref="AR101:AU101" si="273">SUM(AR89,AR91,AR93,AR95,AR97,AR99)</f>
        <v>15078850.560000001</v>
      </c>
      <c r="AS101" s="19">
        <f t="shared" si="273"/>
        <v>17591992.32</v>
      </c>
      <c r="AT101" s="19">
        <f t="shared" si="273"/>
        <v>20105134.079999998</v>
      </c>
      <c r="AU101" s="19">
        <f t="shared" si="273"/>
        <v>22618275.84</v>
      </c>
      <c r="AV101" s="19">
        <f t="shared" ref="AV101:BN101" si="274">SUM(AV89,AV91,AV93,AV95,AV97,AV99)</f>
        <v>25131417.600000001</v>
      </c>
      <c r="AW101" s="19">
        <f t="shared" ref="AW101:AZ101" si="275">SUM(AW89,AW91,AW93,AW95,AW97,AW99)</f>
        <v>30157701.120000001</v>
      </c>
      <c r="AX101" s="19">
        <f t="shared" si="275"/>
        <v>35183984.640000001</v>
      </c>
      <c r="AY101" s="19">
        <f t="shared" si="275"/>
        <v>40210268.159999996</v>
      </c>
      <c r="AZ101" s="19">
        <f t="shared" si="275"/>
        <v>45236551.68</v>
      </c>
      <c r="BA101" s="19">
        <f t="shared" ref="BA101:BD101" si="276">SUM(BA89,BA91,BA93,BA95,BA97,BA99)</f>
        <v>50262835.200000003</v>
      </c>
      <c r="BB101" s="19">
        <f t="shared" si="276"/>
        <v>60315402.240000002</v>
      </c>
      <c r="BC101" s="19">
        <f t="shared" si="276"/>
        <v>70367969.280000001</v>
      </c>
      <c r="BD101" s="19">
        <f t="shared" si="276"/>
        <v>80420536.319999993</v>
      </c>
      <c r="BE101" s="19">
        <f t="shared" ref="BE101:BJ101" si="277">SUM(BE89,BE91,BE93,BE95,BE97,BE99)</f>
        <v>90473103.359999999</v>
      </c>
      <c r="BF101" s="19">
        <f t="shared" si="277"/>
        <v>100525670.40000001</v>
      </c>
      <c r="BG101" s="19">
        <f t="shared" si="277"/>
        <v>120630804.48</v>
      </c>
      <c r="BH101" s="19">
        <f t="shared" si="277"/>
        <v>140735938.56</v>
      </c>
      <c r="BI101" s="19">
        <f t="shared" si="277"/>
        <v>160841072.63999999</v>
      </c>
      <c r="BJ101" s="19">
        <f t="shared" si="277"/>
        <v>180946206.72</v>
      </c>
      <c r="BK101" s="19">
        <f t="shared" si="274"/>
        <v>201051340.80000001</v>
      </c>
      <c r="BL101" s="19">
        <f t="shared" ref="BL101" si="278">SUM(BL89,BL91,BL93,BL95,BL97,BL99)</f>
        <v>402102681.60000002</v>
      </c>
      <c r="BM101" s="19">
        <f t="shared" si="274"/>
        <v>804205363.20000005</v>
      </c>
      <c r="BN101" s="59">
        <f t="shared" si="274"/>
        <v>1067714044.2</v>
      </c>
      <c r="BO101" s="45"/>
    </row>
    <row r="102" spans="1:67" x14ac:dyDescent="0.25">
      <c r="A102" s="37" t="s">
        <v>40</v>
      </c>
      <c r="B102" s="39"/>
      <c r="C102" s="39"/>
      <c r="D102" s="39"/>
      <c r="E102" s="39"/>
      <c r="F102" s="39"/>
      <c r="G102" s="39"/>
      <c r="H102" s="39"/>
      <c r="I102" s="39"/>
      <c r="J102" s="39"/>
      <c r="K102" s="39"/>
      <c r="L102" s="39"/>
      <c r="M102" s="39"/>
      <c r="N102" s="39"/>
      <c r="O102" s="39"/>
      <c r="P102" s="31">
        <f>SUM(P90,P92,P94,P96,P98,P100)</f>
        <v>1.2851625</v>
      </c>
      <c r="Q102" s="32">
        <f t="shared" ref="Q102:AF102" si="279">SUM(Q90,Q92,Q94,Q96,Q98,Q100)</f>
        <v>2.570325</v>
      </c>
      <c r="R102" s="32">
        <f t="shared" si="279"/>
        <v>5.1406499999999999</v>
      </c>
      <c r="S102" s="32">
        <f t="shared" si="279"/>
        <v>10.2813</v>
      </c>
      <c r="T102" s="32">
        <f t="shared" si="279"/>
        <v>20.5626</v>
      </c>
      <c r="U102" s="32">
        <f t="shared" si="279"/>
        <v>41.1252</v>
      </c>
      <c r="V102" s="32">
        <f t="shared" si="279"/>
        <v>82.250399999999999</v>
      </c>
      <c r="W102" s="32">
        <f t="shared" si="279"/>
        <v>164.5008</v>
      </c>
      <c r="X102" s="32">
        <f t="shared" si="279"/>
        <v>329.0016</v>
      </c>
      <c r="Y102" s="32">
        <f t="shared" si="279"/>
        <v>658.00319999999999</v>
      </c>
      <c r="Z102" s="32">
        <f t="shared" si="279"/>
        <v>1316.0064</v>
      </c>
      <c r="AA102" s="32">
        <f t="shared" si="279"/>
        <v>2632.0128</v>
      </c>
      <c r="AB102" s="32">
        <f t="shared" si="279"/>
        <v>5264.0255999999999</v>
      </c>
      <c r="AC102" s="32">
        <f t="shared" si="279"/>
        <v>10528.0512</v>
      </c>
      <c r="AD102" s="32">
        <f t="shared" si="279"/>
        <v>21056.1024</v>
      </c>
      <c r="AE102" s="32">
        <f t="shared" si="279"/>
        <v>42112.2048</v>
      </c>
      <c r="AF102" s="32">
        <f t="shared" si="279"/>
        <v>84224.409599999999</v>
      </c>
      <c r="AG102" s="32">
        <f t="shared" si="270"/>
        <v>168448.8192</v>
      </c>
      <c r="AH102" s="32">
        <f t="shared" ref="AH102:AK102" si="280">SUM(AH90,AH92,AH94,AH96,AH98,AH100)</f>
        <v>202138.58304</v>
      </c>
      <c r="AI102" s="32">
        <f t="shared" si="280"/>
        <v>235828.34688</v>
      </c>
      <c r="AJ102" s="32">
        <f t="shared" si="280"/>
        <v>269518.11072</v>
      </c>
      <c r="AK102" s="32">
        <f t="shared" si="280"/>
        <v>303207.87455999997</v>
      </c>
      <c r="AL102" s="32">
        <f t="shared" si="270"/>
        <v>336897.6384</v>
      </c>
      <c r="AM102" s="32">
        <f t="shared" ref="AM102:AP102" si="281">SUM(AM90,AM92,AM94,AM96,AM98,AM100)</f>
        <v>404277.16608</v>
      </c>
      <c r="AN102" s="32">
        <f t="shared" si="281"/>
        <v>471656.69375999999</v>
      </c>
      <c r="AO102" s="32">
        <f t="shared" si="281"/>
        <v>539036.22143999999</v>
      </c>
      <c r="AP102" s="32">
        <f t="shared" si="281"/>
        <v>606415.74911999993</v>
      </c>
      <c r="AQ102" s="32">
        <f t="shared" si="270"/>
        <v>673795.27679999999</v>
      </c>
      <c r="AR102" s="32">
        <f t="shared" ref="AR102:AU102" si="282">SUM(AR90,AR92,AR94,AR96,AR98,AR100)</f>
        <v>808554.33215999999</v>
      </c>
      <c r="AS102" s="32">
        <f t="shared" si="282"/>
        <v>943313.38751999999</v>
      </c>
      <c r="AT102" s="32">
        <f t="shared" si="282"/>
        <v>1078072.44288</v>
      </c>
      <c r="AU102" s="32">
        <f t="shared" si="282"/>
        <v>1212831.4982399999</v>
      </c>
      <c r="AV102" s="32">
        <f t="shared" ref="AV102:BN102" si="283">SUM(AV90,AV92,AV94,AV96,AV98,AV100)</f>
        <v>1347590.5536</v>
      </c>
      <c r="AW102" s="32">
        <f t="shared" ref="AW102:AZ102" si="284">SUM(AW90,AW92,AW94,AW96,AW98,AW100)</f>
        <v>1617108.66432</v>
      </c>
      <c r="AX102" s="32">
        <f t="shared" si="284"/>
        <v>1886626.77504</v>
      </c>
      <c r="AY102" s="32">
        <f t="shared" si="284"/>
        <v>2156144.88576</v>
      </c>
      <c r="AZ102" s="32">
        <f t="shared" si="284"/>
        <v>2425662.9964799997</v>
      </c>
      <c r="BA102" s="32">
        <f t="shared" ref="BA102:BD102" si="285">SUM(BA90,BA92,BA94,BA96,BA98,BA100)</f>
        <v>2695181.1072</v>
      </c>
      <c r="BB102" s="32">
        <f t="shared" si="285"/>
        <v>3234217.32864</v>
      </c>
      <c r="BC102" s="32">
        <f t="shared" si="285"/>
        <v>3773253.55008</v>
      </c>
      <c r="BD102" s="32">
        <f t="shared" si="285"/>
        <v>4312289.77152</v>
      </c>
      <c r="BE102" s="32">
        <f t="shared" ref="BE102:BJ102" si="286">SUM(BE90,BE92,BE94,BE96,BE98,BE100)</f>
        <v>4851325.9929599995</v>
      </c>
      <c r="BF102" s="32">
        <f t="shared" si="286"/>
        <v>5390362.2143999999</v>
      </c>
      <c r="BG102" s="32">
        <f t="shared" si="286"/>
        <v>6468434.6572799999</v>
      </c>
      <c r="BH102" s="32">
        <f t="shared" si="286"/>
        <v>7546507.1001599999</v>
      </c>
      <c r="BI102" s="32">
        <f t="shared" si="286"/>
        <v>8624579.5430399999</v>
      </c>
      <c r="BJ102" s="32">
        <f t="shared" si="286"/>
        <v>9702651.985919999</v>
      </c>
      <c r="BK102" s="32">
        <f t="shared" si="283"/>
        <v>10780724.4288</v>
      </c>
      <c r="BL102" s="32">
        <f t="shared" ref="BL102" si="287">SUM(BL90,BL92,BL94,BL96,BL98,BL100)</f>
        <v>21561448.8576</v>
      </c>
      <c r="BM102" s="32">
        <f t="shared" si="283"/>
        <v>43122897.7152</v>
      </c>
      <c r="BN102" s="70">
        <f t="shared" si="283"/>
        <v>57252693.93119999</v>
      </c>
      <c r="BO102" s="45"/>
    </row>
    <row r="106" spans="1:67" x14ac:dyDescent="0.25">
      <c r="E106" s="2"/>
    </row>
    <row r="107" spans="1:67" x14ac:dyDescent="0.25">
      <c r="E107" s="2"/>
    </row>
    <row r="109" spans="1:67" x14ac:dyDescent="0.25">
      <c r="E109" s="263"/>
    </row>
  </sheetData>
  <conditionalFormatting sqref="BL46:BO46 P46:AZ46">
    <cfRule type="cellIs" dxfId="28" priority="38" operator="greaterThan">
      <formula>$C$25</formula>
    </cfRule>
  </conditionalFormatting>
  <conditionalFormatting sqref="BL48:BN48 P48:BE48">
    <cfRule type="cellIs" dxfId="27" priority="37" operator="greaterThan">
      <formula>$C$26</formula>
    </cfRule>
  </conditionalFormatting>
  <conditionalFormatting sqref="P66:BN66">
    <cfRule type="cellIs" dxfId="26" priority="36" operator="greaterThan">
      <formula>$C$66</formula>
    </cfRule>
  </conditionalFormatting>
  <conditionalFormatting sqref="P68:BN68">
    <cfRule type="cellIs" dxfId="25" priority="35" operator="greaterThan">
      <formula>$C$68</formula>
    </cfRule>
  </conditionalFormatting>
  <conditionalFormatting sqref="P70:BN70">
    <cfRule type="cellIs" dxfId="24" priority="34" operator="greaterThan">
      <formula>$C$70</formula>
    </cfRule>
  </conditionalFormatting>
  <conditionalFormatting sqref="P72:BN72">
    <cfRule type="cellIs" dxfId="23" priority="26" operator="greaterThan">
      <formula>$C$72</formula>
    </cfRule>
  </conditionalFormatting>
  <conditionalFormatting sqref="P74:BN74">
    <cfRule type="cellIs" dxfId="22" priority="25" operator="greaterThan">
      <formula>$C$74</formula>
    </cfRule>
  </conditionalFormatting>
  <conditionalFormatting sqref="P76:BN76">
    <cfRule type="cellIs" dxfId="21" priority="24" operator="greaterThan">
      <formula>$C$76</formula>
    </cfRule>
  </conditionalFormatting>
  <conditionalFormatting sqref="P78:BN78">
    <cfRule type="cellIs" dxfId="20" priority="23" operator="greaterThan">
      <formula>$C$78</formula>
    </cfRule>
  </conditionalFormatting>
  <conditionalFormatting sqref="P80:BN80">
    <cfRule type="cellIs" dxfId="19" priority="22" operator="greaterThan">
      <formula>$C$80</formula>
    </cfRule>
  </conditionalFormatting>
  <conditionalFormatting sqref="P82:BN82">
    <cfRule type="cellIs" dxfId="18" priority="21" operator="greaterThan">
      <formula>$C$82</formula>
    </cfRule>
  </conditionalFormatting>
  <conditionalFormatting sqref="BL37:BN37 P37:BE37">
    <cfRule type="cellIs" dxfId="17" priority="20" operator="equal">
      <formula>0</formula>
    </cfRule>
  </conditionalFormatting>
  <conditionalFormatting sqref="BL44:BN44 BL46:BN46 BL48:BN48 P44:AZ44 P46:AZ46 Q48:BE48">
    <cfRule type="cellIs" dxfId="16" priority="19" operator="equal">
      <formula>0</formula>
    </cfRule>
  </conditionalFormatting>
  <conditionalFormatting sqref="D66">
    <cfRule type="cellIs" dxfId="15" priority="16" operator="greaterThan">
      <formula>$B$66</formula>
    </cfRule>
  </conditionalFormatting>
  <conditionalFormatting sqref="D68">
    <cfRule type="cellIs" dxfId="14" priority="15" operator="greaterThan">
      <formula>$B$68</formula>
    </cfRule>
  </conditionalFormatting>
  <conditionalFormatting sqref="D70">
    <cfRule type="cellIs" dxfId="13" priority="14" operator="greaterThan">
      <formula>$B$70</formula>
    </cfRule>
  </conditionalFormatting>
  <conditionalFormatting sqref="D72">
    <cfRule type="cellIs" dxfId="12" priority="13" operator="greaterThan">
      <formula>$B$72</formula>
    </cfRule>
  </conditionalFormatting>
  <conditionalFormatting sqref="D74">
    <cfRule type="cellIs" dxfId="11" priority="12" operator="greaterThan">
      <formula>$B$74</formula>
    </cfRule>
  </conditionalFormatting>
  <conditionalFormatting sqref="D76">
    <cfRule type="cellIs" dxfId="10" priority="11" operator="greaterThan">
      <formula>$B$76</formula>
    </cfRule>
  </conditionalFormatting>
  <conditionalFormatting sqref="D78">
    <cfRule type="cellIs" dxfId="9" priority="10" operator="greaterThan">
      <formula>$B$78</formula>
    </cfRule>
  </conditionalFormatting>
  <conditionalFormatting sqref="D80">
    <cfRule type="cellIs" dxfId="8" priority="9" operator="greaterThan">
      <formula>$B$80</formula>
    </cfRule>
  </conditionalFormatting>
  <conditionalFormatting sqref="D82">
    <cfRule type="cellIs" dxfId="7" priority="8" operator="greaterThan">
      <formula>$B$82</formula>
    </cfRule>
  </conditionalFormatting>
  <conditionalFormatting sqref="BA44:BE44">
    <cfRule type="cellIs" dxfId="6" priority="7" operator="equal">
      <formula>0</formula>
    </cfRule>
  </conditionalFormatting>
  <conditionalFormatting sqref="BA46:BE46">
    <cfRule type="cellIs" dxfId="5" priority="6" operator="greaterThan">
      <formula>$C$25</formula>
    </cfRule>
  </conditionalFormatting>
  <conditionalFormatting sqref="BA46:BE46">
    <cfRule type="cellIs" dxfId="4" priority="5" operator="equal">
      <formula>0</formula>
    </cfRule>
  </conditionalFormatting>
  <conditionalFormatting sqref="BF46:BK46">
    <cfRule type="cellIs" dxfId="3" priority="4" operator="greaterThan">
      <formula>$C$25</formula>
    </cfRule>
  </conditionalFormatting>
  <conditionalFormatting sqref="BF48:BK48">
    <cfRule type="cellIs" dxfId="2" priority="3" operator="greaterThan">
      <formula>$C$26</formula>
    </cfRule>
  </conditionalFormatting>
  <conditionalFormatting sqref="BF37:BK37">
    <cfRule type="cellIs" dxfId="1" priority="2" operator="equal">
      <formula>0</formula>
    </cfRule>
  </conditionalFormatting>
  <conditionalFormatting sqref="BF44:BK44 BF48:BK48 BF46:BK46">
    <cfRule type="cellIs" dxfId="0" priority="1" operator="equal">
      <formula>0</formula>
    </cfRule>
  </conditionalFormatting>
  <hyperlinks>
    <hyperlink ref="E65" r:id="rId1" location="case-fatality-rate-of-covid-19-by-age" xr:uid="{0058192C-B05A-45D2-8597-C1F9B3D9241E}"/>
    <hyperlink ref="E88" r:id="rId2" location="case-fatality-rate-of-covid-19-by-preexisting-health-conditions" xr:uid="{110A2613-24A6-4768-B90C-571B307D13E2}"/>
    <hyperlink ref="A58" r:id="rId3" xr:uid="{168ADFE7-28CA-4E37-B04A-0F894FC4F702}"/>
    <hyperlink ref="A21" r:id="rId4" xr:uid="{C82EF781-DCE9-40F2-B400-788BB6410A85}"/>
    <hyperlink ref="F65" r:id="rId5" xr:uid="{503A7334-7FEF-4AE6-896F-53AD99C1BBA1}"/>
    <hyperlink ref="B23" r:id="rId6" display="https://cmmid.github.io/topics/covid19/severity/global_cfr_estimates.html" xr:uid="{BFBD0714-5129-4D5C-8C1E-3168F1985A4F}"/>
    <hyperlink ref="A22"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J4" sqref="J4"/>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116</v>
      </c>
      <c r="C3" s="152">
        <f>Projections!B21</f>
        <v>1392156000</v>
      </c>
      <c r="J3" s="2"/>
    </row>
    <row r="4" spans="2:10" x14ac:dyDescent="0.25">
      <c r="B4" s="169" t="s">
        <v>133</v>
      </c>
      <c r="C4" s="152">
        <f>Projections!P35</f>
        <v>31.25</v>
      </c>
      <c r="J4" s="2"/>
    </row>
    <row r="5" spans="2:10" x14ac:dyDescent="0.25">
      <c r="B5" s="169" t="s">
        <v>134</v>
      </c>
      <c r="C5" s="150">
        <f>Projections!P34</f>
        <v>43895</v>
      </c>
      <c r="J5" s="2"/>
    </row>
    <row r="6" spans="2:10" x14ac:dyDescent="0.25">
      <c r="B6" s="169" t="s">
        <v>117</v>
      </c>
      <c r="C6" s="152">
        <v>11112241</v>
      </c>
    </row>
    <row r="7" spans="2:10" x14ac:dyDescent="0.25">
      <c r="B7" s="169" t="s">
        <v>119</v>
      </c>
      <c r="C7" s="150">
        <f ca="1">NOW()</f>
        <v>44256.879480439813</v>
      </c>
    </row>
    <row r="8" spans="2:10" x14ac:dyDescent="0.25">
      <c r="B8" s="169" t="s">
        <v>135</v>
      </c>
      <c r="C8" s="151">
        <f ca="1">C7-C5</f>
        <v>361.87948043981305</v>
      </c>
    </row>
    <row r="9" spans="2:10" x14ac:dyDescent="0.25">
      <c r="B9" s="169" t="s">
        <v>118</v>
      </c>
      <c r="C9" s="153">
        <f ca="1">C8/(LOG(C6/C4)/LOG(2))</f>
        <v>19.624847357366349</v>
      </c>
      <c r="D9" t="s">
        <v>96</v>
      </c>
      <c r="F9" t="s">
        <v>136</v>
      </c>
    </row>
    <row r="10" spans="2:10" x14ac:dyDescent="0.25">
      <c r="B10" s="169" t="s">
        <v>123</v>
      </c>
      <c r="C10" s="152">
        <f>Projections!C25</f>
        <v>689882.90580000007</v>
      </c>
    </row>
    <row r="11" spans="2:10" x14ac:dyDescent="0.25">
      <c r="B11" s="170" t="s">
        <v>124</v>
      </c>
      <c r="C11" s="157">
        <f>Projections!C26</f>
        <v>47959.774200000007</v>
      </c>
    </row>
    <row r="12" spans="2:10" s="66" customFormat="1" x14ac:dyDescent="0.25">
      <c r="B12" s="61" t="s">
        <v>164</v>
      </c>
      <c r="C12" s="158">
        <f>C6/Projections!B23</f>
        <v>16668361.499999998</v>
      </c>
    </row>
    <row r="13" spans="2:10" s="66" customFormat="1" x14ac:dyDescent="0.25">
      <c r="B13" s="48" t="s">
        <v>165</v>
      </c>
      <c r="C13" s="159">
        <f ca="1">(C4/Projections!B23)*(2^(((C7-21)-C5)/C9))</f>
        <v>7939060.9486612836</v>
      </c>
    </row>
    <row r="14" spans="2:10" s="66" customFormat="1" x14ac:dyDescent="0.25">
      <c r="B14" s="49" t="s">
        <v>166</v>
      </c>
      <c r="C14" s="141">
        <f ca="1">C12-C13</f>
        <v>8729300.5513387136</v>
      </c>
      <c r="E14" s="155"/>
      <c r="F14" s="156" t="s">
        <v>140</v>
      </c>
      <c r="G14" s="154"/>
    </row>
    <row r="15" spans="2:10" x14ac:dyDescent="0.25">
      <c r="B15" s="4" t="s">
        <v>137</v>
      </c>
      <c r="C15" s="63">
        <f>C6*Projections!B27</f>
        <v>9000915.2100000009</v>
      </c>
      <c r="I15" s="149"/>
    </row>
    <row r="16" spans="2:10" x14ac:dyDescent="0.25">
      <c r="B16" s="41" t="s">
        <v>147</v>
      </c>
      <c r="C16" s="77">
        <f ca="1">(C4*Projections!B27)*(2^(((C7-21)-C5)/C9))</f>
        <v>4287092.9122770932</v>
      </c>
      <c r="I16" s="149"/>
    </row>
    <row r="17" spans="2:9" x14ac:dyDescent="0.25">
      <c r="B17" s="41" t="s">
        <v>138</v>
      </c>
      <c r="C17" s="77">
        <f ca="1">C15-C16</f>
        <v>4713822.2977229077</v>
      </c>
      <c r="F17" t="s">
        <v>141</v>
      </c>
      <c r="I17" s="149"/>
    </row>
    <row r="18" spans="2:9" x14ac:dyDescent="0.25">
      <c r="B18" s="4" t="s">
        <v>143</v>
      </c>
      <c r="C18" s="63">
        <f>C6*Projections!B28</f>
        <v>1555713.7400000002</v>
      </c>
    </row>
    <row r="19" spans="2:9" x14ac:dyDescent="0.25">
      <c r="B19" s="41" t="s">
        <v>148</v>
      </c>
      <c r="C19" s="77">
        <f ca="1">(C4*Projections!B28)*(2^(((C7-49)-C5)/C9))</f>
        <v>275617.98059864837</v>
      </c>
    </row>
    <row r="20" spans="2:9" x14ac:dyDescent="0.25">
      <c r="B20" s="41" t="s">
        <v>142</v>
      </c>
      <c r="C20" s="77">
        <f ca="1">C18-C19</f>
        <v>1280095.7594013519</v>
      </c>
      <c r="F20" t="s">
        <v>146</v>
      </c>
    </row>
    <row r="21" spans="2:9" x14ac:dyDescent="0.25">
      <c r="B21" s="4" t="s">
        <v>144</v>
      </c>
      <c r="C21" s="63">
        <f>C6*Projections!B29</f>
        <v>555612.05000000005</v>
      </c>
      <c r="I21" s="149"/>
    </row>
    <row r="22" spans="2:9" x14ac:dyDescent="0.25">
      <c r="B22" s="41" t="s">
        <v>149</v>
      </c>
      <c r="C22" s="77">
        <f ca="1">(C4*Projections!B29)*(2^(((C7-49)-C5)/C9))</f>
        <v>98434.993070945842</v>
      </c>
      <c r="I22" s="149"/>
    </row>
    <row r="23" spans="2:9" x14ac:dyDescent="0.25">
      <c r="B23" s="41" t="s">
        <v>145</v>
      </c>
      <c r="C23" s="77">
        <f ca="1">C21-C22</f>
        <v>457177.0569290542</v>
      </c>
      <c r="I23" s="149"/>
    </row>
    <row r="24" spans="2:9" x14ac:dyDescent="0.25">
      <c r="B24" s="4" t="s">
        <v>150</v>
      </c>
      <c r="C24" s="63">
        <f>C6*Projections!B30</f>
        <v>166683.61499999999</v>
      </c>
    </row>
    <row r="25" spans="2:9" x14ac:dyDescent="0.25">
      <c r="B25" s="37" t="s">
        <v>151</v>
      </c>
      <c r="C25" s="60">
        <f ca="1">(C4*Projections!B30)*(2^(((C7-42)-C5)/C9))</f>
        <v>37813.368006542609</v>
      </c>
      <c r="F25" t="s">
        <v>152</v>
      </c>
    </row>
    <row r="26" spans="2:9" x14ac:dyDescent="0.25">
      <c r="B26" s="41" t="s">
        <v>128</v>
      </c>
      <c r="C26" s="162">
        <f ca="1">C9*(LOG(C10/C21)/LOG(2))</f>
        <v>6.1283222189567006</v>
      </c>
      <c r="D26" t="s">
        <v>96</v>
      </c>
      <c r="F26" s="66" t="s">
        <v>153</v>
      </c>
    </row>
    <row r="27" spans="2:9" x14ac:dyDescent="0.25">
      <c r="B27" s="37" t="s">
        <v>125</v>
      </c>
      <c r="C27" s="161">
        <f ca="1">C7+C26</f>
        <v>44263.007802658773</v>
      </c>
      <c r="F27" t="s">
        <v>154</v>
      </c>
    </row>
    <row r="28" spans="2:9" x14ac:dyDescent="0.25">
      <c r="B28" s="4" t="s">
        <v>129</v>
      </c>
      <c r="C28" s="160">
        <f ca="1">C9*(LOG(C11/C21)/LOG(2))</f>
        <v>-69.357764954837236</v>
      </c>
      <c r="D28" t="s">
        <v>96</v>
      </c>
    </row>
    <row r="29" spans="2:9" x14ac:dyDescent="0.25">
      <c r="B29" s="37" t="s">
        <v>126</v>
      </c>
      <c r="C29" s="161">
        <f ca="1">C7+C28</f>
        <v>44187.521715484974</v>
      </c>
      <c r="F29" t="s">
        <v>154</v>
      </c>
    </row>
    <row r="30" spans="2:9" x14ac:dyDescent="0.25">
      <c r="B30" s="4" t="s">
        <v>130</v>
      </c>
      <c r="C30" s="160">
        <f ca="1">C9*(LOG((C3*0.6)/C12)/LOG(2))</f>
        <v>110.82345951185793</v>
      </c>
      <c r="D30" t="s">
        <v>96</v>
      </c>
    </row>
    <row r="31" spans="2:9" x14ac:dyDescent="0.25">
      <c r="B31" s="37" t="s">
        <v>127</v>
      </c>
      <c r="C31" s="161">
        <f ca="1">C7+C30</f>
        <v>44367.702939951669</v>
      </c>
    </row>
    <row r="34" spans="2:6" x14ac:dyDescent="0.25">
      <c r="B34" s="4" t="s">
        <v>131</v>
      </c>
      <c r="C34" s="150">
        <f ca="1">C7+30</f>
        <v>44286.879480439813</v>
      </c>
      <c r="F34" t="s">
        <v>167</v>
      </c>
    </row>
    <row r="35" spans="2:6" x14ac:dyDescent="0.25">
      <c r="B35" s="41" t="s">
        <v>132</v>
      </c>
      <c r="C35" s="77">
        <f ca="1">C6*(2^((C34-C7)/C9))</f>
        <v>32061103.989811085</v>
      </c>
      <c r="F35" t="s">
        <v>139</v>
      </c>
    </row>
    <row r="36" spans="2:6" x14ac:dyDescent="0.25">
      <c r="B36" s="41" t="s">
        <v>173</v>
      </c>
      <c r="C36" s="77">
        <f ca="1">C35/Projections!B23</f>
        <v>48091655.984716624</v>
      </c>
    </row>
    <row r="37" spans="2:6" x14ac:dyDescent="0.25">
      <c r="B37" s="41" t="s">
        <v>72</v>
      </c>
      <c r="C37" s="77">
        <f ca="1">C35*Projections!B27</f>
        <v>25969494.231746979</v>
      </c>
    </row>
    <row r="38" spans="2:6" x14ac:dyDescent="0.25">
      <c r="B38" s="41" t="s">
        <v>120</v>
      </c>
      <c r="C38" s="77">
        <f ca="1">C35*Projections!B28</f>
        <v>4488554.5585735524</v>
      </c>
    </row>
    <row r="39" spans="2:6" x14ac:dyDescent="0.25">
      <c r="B39" s="41" t="s">
        <v>121</v>
      </c>
      <c r="C39" s="77">
        <f ca="1">C35*Projections!B29</f>
        <v>1603055.1994905544</v>
      </c>
    </row>
    <row r="40" spans="2:6" x14ac:dyDescent="0.25">
      <c r="B40" s="37" t="s">
        <v>122</v>
      </c>
      <c r="C40" s="60">
        <f ca="1">C35*Projections!B30</f>
        <v>480916.55984716624</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183</v>
      </c>
    </row>
    <row r="2" spans="1:4" x14ac:dyDescent="0.25">
      <c r="A2" s="233" t="s">
        <v>182</v>
      </c>
      <c r="B2" t="s">
        <v>46</v>
      </c>
      <c r="D2" t="s">
        <v>184</v>
      </c>
    </row>
    <row r="3" spans="1:4" x14ac:dyDescent="0.25">
      <c r="A3" s="236" t="s">
        <v>21</v>
      </c>
      <c r="B3" s="237">
        <v>112806778</v>
      </c>
      <c r="C3" s="238"/>
      <c r="D3" s="5"/>
    </row>
    <row r="4" spans="1:4" x14ac:dyDescent="0.25">
      <c r="A4" s="239" t="s">
        <v>22</v>
      </c>
      <c r="B4" s="240">
        <v>126928126</v>
      </c>
      <c r="C4" s="240">
        <f>SUM(B3:B4)</f>
        <v>239734904</v>
      </c>
      <c r="D4" s="241">
        <f>C4/$B$25</f>
        <v>0.19798812289970874</v>
      </c>
    </row>
    <row r="5" spans="1:4" x14ac:dyDescent="0.25">
      <c r="A5" s="236" t="s">
        <v>23</v>
      </c>
      <c r="B5" s="237">
        <v>132709212</v>
      </c>
      <c r="C5" s="238"/>
      <c r="D5" s="5"/>
    </row>
    <row r="6" spans="1:4" x14ac:dyDescent="0.25">
      <c r="A6" s="239" t="s">
        <v>24</v>
      </c>
      <c r="B6" s="240">
        <v>120526449</v>
      </c>
      <c r="C6" s="240">
        <f>SUM(B5:B6)</f>
        <v>253235661</v>
      </c>
      <c r="D6" s="241">
        <f>C6/$B$25</f>
        <v>0.20913789496692137</v>
      </c>
    </row>
    <row r="7" spans="1:4" x14ac:dyDescent="0.25">
      <c r="A7" s="236" t="s">
        <v>25</v>
      </c>
      <c r="B7" s="237">
        <v>111424222</v>
      </c>
      <c r="C7" s="238"/>
      <c r="D7" s="5"/>
    </row>
    <row r="8" spans="1:4" x14ac:dyDescent="0.25">
      <c r="A8" s="239" t="s">
        <v>26</v>
      </c>
      <c r="B8" s="240">
        <v>101413965</v>
      </c>
      <c r="C8" s="240">
        <f>SUM(B7:B8)</f>
        <v>212838187</v>
      </c>
      <c r="D8" s="241">
        <f>C8/$B$25</f>
        <v>0.17577512670206416</v>
      </c>
    </row>
    <row r="9" spans="1:4" x14ac:dyDescent="0.25">
      <c r="A9" s="236" t="s">
        <v>27</v>
      </c>
      <c r="B9" s="237">
        <v>88594951</v>
      </c>
      <c r="C9" s="238"/>
      <c r="D9" s="5"/>
    </row>
    <row r="10" spans="1:4" x14ac:dyDescent="0.25">
      <c r="A10" s="239" t="s">
        <v>28</v>
      </c>
      <c r="B10" s="240">
        <v>85140684</v>
      </c>
      <c r="C10" s="240">
        <f>SUM(B9:B10)</f>
        <v>173735635</v>
      </c>
      <c r="D10" s="241">
        <f>C10/$B$25</f>
        <v>0.14348178625853722</v>
      </c>
    </row>
    <row r="11" spans="1:4" x14ac:dyDescent="0.25">
      <c r="A11" s="236" t="s">
        <v>29</v>
      </c>
      <c r="B11" s="237">
        <v>72438112</v>
      </c>
      <c r="C11" s="238"/>
      <c r="D11" s="5"/>
    </row>
    <row r="12" spans="1:4" x14ac:dyDescent="0.25">
      <c r="A12" s="239" t="s">
        <v>30</v>
      </c>
      <c r="B12" s="240">
        <v>62318327</v>
      </c>
      <c r="C12" s="240">
        <f>SUM(B11:B12)</f>
        <v>134756439</v>
      </c>
      <c r="D12" s="241">
        <f>C12/$B$25</f>
        <v>0.11129032093824395</v>
      </c>
    </row>
    <row r="13" spans="1:4" x14ac:dyDescent="0.25">
      <c r="A13" s="236" t="s">
        <v>31</v>
      </c>
      <c r="B13" s="237">
        <v>49069254</v>
      </c>
      <c r="C13" s="238"/>
      <c r="D13" s="5"/>
    </row>
    <row r="14" spans="1:4" x14ac:dyDescent="0.25">
      <c r="A14" s="239" t="s">
        <v>32</v>
      </c>
      <c r="B14" s="240">
        <v>39146055</v>
      </c>
      <c r="C14" s="240">
        <f>SUM(B13:B14)</f>
        <v>88215309</v>
      </c>
      <c r="D14" s="241">
        <f>C14/$B$25</f>
        <v>7.2853736141516481E-2</v>
      </c>
    </row>
    <row r="15" spans="1:4" x14ac:dyDescent="0.25">
      <c r="A15" s="236" t="s">
        <v>33</v>
      </c>
      <c r="B15" s="237">
        <v>37663707</v>
      </c>
      <c r="C15" s="238"/>
      <c r="D15" s="5"/>
    </row>
    <row r="16" spans="1:4" x14ac:dyDescent="0.25">
      <c r="A16" s="239" t="s">
        <v>34</v>
      </c>
      <c r="B16" s="240">
        <v>26454983</v>
      </c>
      <c r="C16" s="240">
        <f>SUM(B15:B16)</f>
        <v>64118690</v>
      </c>
      <c r="D16" s="241">
        <f>C16/$B$25</f>
        <v>5.2953236529497287E-2</v>
      </c>
    </row>
    <row r="17" spans="1:4" x14ac:dyDescent="0.25">
      <c r="A17" s="236" t="s">
        <v>35</v>
      </c>
      <c r="B17" s="237">
        <v>19208842</v>
      </c>
      <c r="C17" s="238"/>
      <c r="D17" s="5"/>
    </row>
    <row r="18" spans="1:4" x14ac:dyDescent="0.25">
      <c r="A18" s="242" t="s">
        <v>36</v>
      </c>
      <c r="B18" s="243">
        <v>9232503</v>
      </c>
      <c r="C18" s="243">
        <f>SUM(B17:B18)</f>
        <v>28441345</v>
      </c>
      <c r="D18" s="208">
        <f>C18/$B$25</f>
        <v>2.3488646898463382E-2</v>
      </c>
    </row>
    <row r="19" spans="1:4" x14ac:dyDescent="0.25">
      <c r="A19" s="236" t="s">
        <v>37</v>
      </c>
      <c r="B19" s="237">
        <v>6220229</v>
      </c>
      <c r="C19" s="238"/>
      <c r="D19" s="5"/>
    </row>
    <row r="20" spans="1:4" x14ac:dyDescent="0.25">
      <c r="A20" s="242" t="s">
        <v>177</v>
      </c>
      <c r="B20" s="243">
        <v>2383167</v>
      </c>
      <c r="C20" s="243"/>
      <c r="D20" s="208"/>
    </row>
    <row r="21" spans="1:4" x14ac:dyDescent="0.25">
      <c r="A21" s="242" t="s">
        <v>178</v>
      </c>
      <c r="B21" s="243">
        <v>1446534</v>
      </c>
      <c r="C21" s="244"/>
      <c r="D21" s="17"/>
    </row>
    <row r="22" spans="1:4" x14ac:dyDescent="0.25">
      <c r="A22" s="242" t="s">
        <v>179</v>
      </c>
      <c r="B22" s="243">
        <v>633297</v>
      </c>
      <c r="C22" s="244"/>
      <c r="D22" s="17"/>
    </row>
    <row r="23" spans="1:4" x14ac:dyDescent="0.25">
      <c r="A23" s="239" t="s">
        <v>180</v>
      </c>
      <c r="B23" s="240">
        <v>605778</v>
      </c>
      <c r="C23" s="240">
        <f>SUM(B19:B23)</f>
        <v>11289005</v>
      </c>
      <c r="D23" s="241">
        <f>C23/$B$25</f>
        <v>9.323168516819004E-3</v>
      </c>
    </row>
    <row r="24" spans="1:4" x14ac:dyDescent="0.25">
      <c r="A24" s="239" t="s">
        <v>181</v>
      </c>
      <c r="B24" s="240">
        <v>4489802</v>
      </c>
      <c r="C24" s="245"/>
      <c r="D24" s="241">
        <f>B24/B25</f>
        <v>3.7079601482283868E-3</v>
      </c>
    </row>
    <row r="25" spans="1:4" x14ac:dyDescent="0.25">
      <c r="A25" s="234" t="s">
        <v>46</v>
      </c>
      <c r="B25" s="235">
        <f>SUM(B3:B24)</f>
        <v>1210854977</v>
      </c>
    </row>
    <row r="26" spans="1:4" x14ac:dyDescent="0.25">
      <c r="A26" s="214"/>
    </row>
    <row r="27" spans="1:4" x14ac:dyDescent="0.25">
      <c r="A27" s="215"/>
    </row>
    <row r="28" spans="1:4" x14ac:dyDescent="0.25">
      <c r="A28" s="214"/>
    </row>
    <row r="29" spans="1:4" x14ac:dyDescent="0.25">
      <c r="A29" s="215"/>
    </row>
    <row r="30" spans="1:4" x14ac:dyDescent="0.25">
      <c r="A30" s="214"/>
    </row>
    <row r="31" spans="1:4" x14ac:dyDescent="0.25">
      <c r="A31" s="215"/>
    </row>
    <row r="32" spans="1:4" x14ac:dyDescent="0.25">
      <c r="A32" s="214"/>
    </row>
    <row r="33" spans="1:1" x14ac:dyDescent="0.25">
      <c r="A33" s="215"/>
    </row>
    <row r="34" spans="1:1" x14ac:dyDescent="0.25">
      <c r="A34" s="214"/>
    </row>
    <row r="35" spans="1:1" x14ac:dyDescent="0.25">
      <c r="A35" s="215"/>
    </row>
    <row r="36" spans="1:1" x14ac:dyDescent="0.25">
      <c r="A36" s="214"/>
    </row>
    <row r="37" spans="1:1" x14ac:dyDescent="0.25">
      <c r="A37" s="215"/>
    </row>
    <row r="38" spans="1:1" x14ac:dyDescent="0.25">
      <c r="A38" s="214"/>
    </row>
    <row r="39" spans="1:1" x14ac:dyDescent="0.25">
      <c r="A39" s="215"/>
    </row>
    <row r="40" spans="1:1" x14ac:dyDescent="0.25">
      <c r="A40" s="214"/>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57" t="s">
        <v>186</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2021-03-01T10:06:43Z</dcterms:modified>
</cp:coreProperties>
</file>