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E5ADCBD-DE22-4C55-BDF1-685FAF44C6A0}"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80" i="1" l="1"/>
  <c r="X80" i="1"/>
  <c r="Y80" i="1"/>
  <c r="Z80" i="1"/>
  <c r="W81" i="1"/>
  <c r="X81" i="1"/>
  <c r="Y81" i="1"/>
  <c r="Z81" i="1"/>
  <c r="W82" i="1"/>
  <c r="X82" i="1"/>
  <c r="Y82" i="1"/>
  <c r="Z82" i="1"/>
  <c r="W112" i="1"/>
  <c r="X112" i="1"/>
  <c r="Y112" i="1"/>
  <c r="Z112" i="1"/>
  <c r="W113" i="1"/>
  <c r="X113" i="1"/>
  <c r="Y113" i="1"/>
  <c r="Z113" i="1"/>
  <c r="W114" i="1"/>
  <c r="W115" i="1" s="1"/>
  <c r="W125" i="1" s="1"/>
  <c r="X114" i="1"/>
  <c r="X115" i="1" s="1"/>
  <c r="X125" i="1" s="1"/>
  <c r="Y114" i="1"/>
  <c r="Y115" i="1" s="1"/>
  <c r="Y125" i="1" s="1"/>
  <c r="Z114" i="1"/>
  <c r="Z124" i="1" s="1"/>
  <c r="W116" i="1"/>
  <c r="X116" i="1"/>
  <c r="Y116" i="1"/>
  <c r="Z116" i="1"/>
  <c r="W117" i="1"/>
  <c r="X117" i="1"/>
  <c r="Y117" i="1"/>
  <c r="Z117" i="1"/>
  <c r="W118" i="1"/>
  <c r="X118" i="1"/>
  <c r="Y118" i="1"/>
  <c r="Z118" i="1"/>
  <c r="W119" i="1"/>
  <c r="X119" i="1"/>
  <c r="Y119" i="1"/>
  <c r="Z119" i="1"/>
  <c r="W120" i="1"/>
  <c r="W121" i="1" s="1"/>
  <c r="X120" i="1"/>
  <c r="X121" i="1" s="1"/>
  <c r="Y120" i="1"/>
  <c r="Y121" i="1" s="1"/>
  <c r="Z120" i="1"/>
  <c r="Z121" i="1" s="1"/>
  <c r="W122" i="1"/>
  <c r="X122" i="1"/>
  <c r="Y122" i="1"/>
  <c r="Z122" i="1"/>
  <c r="W124" i="1"/>
  <c r="X124" i="1"/>
  <c r="Y124" i="1"/>
  <c r="W89" i="1"/>
  <c r="X89" i="1"/>
  <c r="Y89" i="1"/>
  <c r="Z89" i="1"/>
  <c r="W90" i="1"/>
  <c r="X90" i="1"/>
  <c r="X108" i="1" s="1"/>
  <c r="Y90" i="1"/>
  <c r="Z90" i="1"/>
  <c r="W91" i="1"/>
  <c r="X91" i="1"/>
  <c r="X107" i="1" s="1"/>
  <c r="Y91" i="1"/>
  <c r="Y107" i="1" s="1"/>
  <c r="Z91" i="1"/>
  <c r="Z107" i="1" s="1"/>
  <c r="W92" i="1"/>
  <c r="X92" i="1"/>
  <c r="Y92" i="1"/>
  <c r="Z92" i="1"/>
  <c r="W93" i="1"/>
  <c r="X93" i="1"/>
  <c r="Y93" i="1"/>
  <c r="Z93" i="1"/>
  <c r="W94" i="1"/>
  <c r="X94" i="1"/>
  <c r="Y94" i="1"/>
  <c r="Z94" i="1"/>
  <c r="W95" i="1"/>
  <c r="X95" i="1"/>
  <c r="Y95" i="1"/>
  <c r="Z95" i="1"/>
  <c r="W96" i="1"/>
  <c r="X96" i="1"/>
  <c r="Y96" i="1"/>
  <c r="Z96" i="1"/>
  <c r="W97" i="1"/>
  <c r="X97" i="1"/>
  <c r="Y97" i="1"/>
  <c r="Z97" i="1"/>
  <c r="W98" i="1"/>
  <c r="X98" i="1"/>
  <c r="Y98" i="1"/>
  <c r="Z98" i="1"/>
  <c r="W99" i="1"/>
  <c r="X99" i="1"/>
  <c r="Y99" i="1"/>
  <c r="Z99" i="1"/>
  <c r="W100" i="1"/>
  <c r="X100" i="1"/>
  <c r="Y100" i="1"/>
  <c r="Z100" i="1"/>
  <c r="W101" i="1"/>
  <c r="X101" i="1"/>
  <c r="Y101" i="1"/>
  <c r="Z101" i="1"/>
  <c r="W102" i="1"/>
  <c r="X102" i="1"/>
  <c r="Y102" i="1"/>
  <c r="Z102" i="1"/>
  <c r="W103" i="1"/>
  <c r="W107" i="1" s="1"/>
  <c r="X103" i="1"/>
  <c r="Y103" i="1"/>
  <c r="Z103" i="1"/>
  <c r="W104" i="1"/>
  <c r="X104" i="1"/>
  <c r="Y104" i="1"/>
  <c r="Z104" i="1"/>
  <c r="W105" i="1"/>
  <c r="X105" i="1"/>
  <c r="Y105" i="1"/>
  <c r="Z105" i="1"/>
  <c r="W106" i="1"/>
  <c r="W108" i="1" s="1"/>
  <c r="X106" i="1"/>
  <c r="Y106" i="1"/>
  <c r="Y108" i="1" s="1"/>
  <c r="Z106" i="1"/>
  <c r="Z108" i="1"/>
  <c r="V84" i="1"/>
  <c r="Z115" i="1" l="1"/>
  <c r="Z125" i="1" s="1"/>
  <c r="U84" i="1" l="1"/>
  <c r="T84" i="1" l="1"/>
  <c r="S84" i="1" l="1"/>
  <c r="B45" i="1" l="1"/>
  <c r="D5" i="3" l="1"/>
  <c r="D6" i="3"/>
  <c r="D7" i="3"/>
  <c r="F21" i="3" s="1"/>
  <c r="D8" i="3"/>
  <c r="F22" i="3" s="1"/>
  <c r="G98" i="1" s="1"/>
  <c r="D9" i="3"/>
  <c r="D10" i="3"/>
  <c r="F24" i="3" s="1"/>
  <c r="G102" i="1" s="1"/>
  <c r="D11" i="3"/>
  <c r="F25" i="3" s="1"/>
  <c r="G104" i="1" s="1"/>
  <c r="D12" i="3"/>
  <c r="F26" i="3" s="1"/>
  <c r="G106" i="1" s="1"/>
  <c r="D4" i="3"/>
  <c r="B28" i="3"/>
  <c r="C28" i="3"/>
  <c r="D19" i="3"/>
  <c r="D20" i="3"/>
  <c r="D21" i="3"/>
  <c r="D22" i="3"/>
  <c r="D23" i="3"/>
  <c r="D24" i="3"/>
  <c r="D25" i="3"/>
  <c r="D26" i="3"/>
  <c r="D18" i="3"/>
  <c r="F20" i="3" l="1"/>
  <c r="G94" i="1" s="1"/>
  <c r="F23" i="3"/>
  <c r="G100" i="1" s="1"/>
  <c r="F18" i="3"/>
  <c r="G90" i="1" s="1"/>
  <c r="D28" i="3"/>
  <c r="G96" i="1"/>
  <c r="E23" i="3"/>
  <c r="E20" i="3"/>
  <c r="E21" i="3"/>
  <c r="E24" i="3"/>
  <c r="E25" i="3"/>
  <c r="E26" i="3"/>
  <c r="F19" i="3"/>
  <c r="G92" i="1" s="1"/>
  <c r="R84" i="1"/>
  <c r="E22" i="3" l="1"/>
  <c r="C29" i="3"/>
  <c r="E19" i="3"/>
  <c r="B29" i="3"/>
  <c r="E18" i="3"/>
  <c r="Q84" i="1"/>
  <c r="N84" i="1" l="1"/>
  <c r="O84" i="1"/>
  <c r="P84" i="1"/>
  <c r="M84" i="1"/>
  <c r="K84" i="1"/>
  <c r="L84" i="1"/>
  <c r="J84" i="1"/>
  <c r="I84" i="1"/>
  <c r="E34" i="4" l="1"/>
  <c r="C45" i="4"/>
  <c r="J56" i="1" l="1"/>
  <c r="K56" i="1" l="1"/>
  <c r="I82" i="1"/>
  <c r="I67" i="1" s="1"/>
  <c r="P7" i="1"/>
  <c r="P6" i="1"/>
  <c r="O5" i="1"/>
  <c r="M4" i="1"/>
  <c r="L3" i="1"/>
  <c r="I2" i="1"/>
  <c r="R14" i="1"/>
  <c r="Q13" i="1"/>
  <c r="P10" i="1"/>
  <c r="P9" i="1"/>
  <c r="I80" i="1"/>
  <c r="I79" i="1"/>
  <c r="L56" i="1" l="1"/>
  <c r="I68" i="1"/>
  <c r="I69" i="1"/>
  <c r="I70" i="1" s="1"/>
  <c r="M56" i="1" l="1"/>
  <c r="I65" i="1"/>
  <c r="I66" i="1" s="1"/>
  <c r="I61" i="1"/>
  <c r="I63" i="1" s="1"/>
  <c r="I64" i="1" s="1"/>
  <c r="C12" i="5"/>
  <c r="C7" i="5"/>
  <c r="C8" i="5" s="1"/>
  <c r="C9" i="5" s="1"/>
  <c r="C21" i="5"/>
  <c r="C18" i="5"/>
  <c r="C15" i="5"/>
  <c r="C24" i="5"/>
  <c r="C3" i="5"/>
  <c r="N56" i="1" l="1"/>
  <c r="C30" i="5"/>
  <c r="I59" i="1"/>
  <c r="I60" i="1" s="1"/>
  <c r="C34" i="5"/>
  <c r="O56" i="1" l="1"/>
  <c r="C13" i="5"/>
  <c r="C14" i="5" s="1"/>
  <c r="I62" i="1"/>
  <c r="AM58" i="1"/>
  <c r="AM57" i="1" s="1"/>
  <c r="AM61" i="1"/>
  <c r="AL57" i="1"/>
  <c r="AL58" i="1" s="1"/>
  <c r="I75" i="1"/>
  <c r="I73" i="1"/>
  <c r="I76" i="1"/>
  <c r="I74" i="1"/>
  <c r="P56" i="1" l="1"/>
  <c r="AM62" i="1"/>
  <c r="AM63" i="1"/>
  <c r="AM71" i="1"/>
  <c r="AM65" i="1"/>
  <c r="AM69" i="1"/>
  <c r="AM67" i="1"/>
  <c r="AL81" i="1"/>
  <c r="AM81" i="1" s="1"/>
  <c r="AL65" i="1"/>
  <c r="AL61" i="1"/>
  <c r="AL63" i="1" s="1"/>
  <c r="C22" i="5"/>
  <c r="C23" i="5" s="1"/>
  <c r="C35" i="5"/>
  <c r="C40" i="5" s="1"/>
  <c r="C25" i="5"/>
  <c r="C19" i="5"/>
  <c r="C20" i="5" s="1"/>
  <c r="C16" i="5"/>
  <c r="C17" i="5" s="1"/>
  <c r="C31" i="5"/>
  <c r="AP25" i="4"/>
  <c r="E31" i="4"/>
  <c r="B17" i="4" s="1"/>
  <c r="B18" i="4" l="1"/>
  <c r="H21" i="4" s="1"/>
  <c r="V24" i="4" s="1"/>
  <c r="K20" i="4"/>
  <c r="V56" i="1"/>
  <c r="Q56"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56" i="1" l="1"/>
  <c r="S56" i="1"/>
  <c r="T56" i="1"/>
  <c r="U56" i="1"/>
  <c r="U79" i="1" s="1"/>
  <c r="R82" i="1"/>
  <c r="T79" i="1"/>
  <c r="T80" i="1"/>
  <c r="T72" i="1"/>
  <c r="AA56" i="1"/>
  <c r="Z56" i="1" s="1"/>
  <c r="E18" i="4"/>
  <c r="E19" i="4" s="1"/>
  <c r="H17" i="4"/>
  <c r="B19" i="4"/>
  <c r="I112" i="1"/>
  <c r="I113" i="1" s="1"/>
  <c r="X56" i="1" l="1"/>
  <c r="Y56" i="1"/>
  <c r="U80" i="1"/>
  <c r="W56" i="1"/>
  <c r="U72" i="1"/>
  <c r="S79" i="1"/>
  <c r="S82" i="1"/>
  <c r="S80" i="1"/>
  <c r="S72" i="1"/>
  <c r="Q79" i="1"/>
  <c r="Q72" i="1"/>
  <c r="Q82" i="1"/>
  <c r="Q80" i="1"/>
  <c r="R79" i="1"/>
  <c r="R72" i="1"/>
  <c r="R80" i="1"/>
  <c r="AB56" i="1"/>
  <c r="H18" i="4"/>
  <c r="H19" i="4" s="1"/>
  <c r="Q20" i="4"/>
  <c r="K17" i="4"/>
  <c r="T20" i="4" s="1"/>
  <c r="K21" i="4"/>
  <c r="Y24" i="4" s="1"/>
  <c r="D14" i="3"/>
  <c r="AC56" i="1" l="1"/>
  <c r="K18" i="4"/>
  <c r="K19" i="4" s="1"/>
  <c r="N22" i="4"/>
  <c r="N17" i="4"/>
  <c r="W20" i="4" s="1"/>
  <c r="N21" i="4"/>
  <c r="AB24" i="4" s="1"/>
  <c r="AD56" i="1" l="1"/>
  <c r="Q17" i="4"/>
  <c r="T17" i="4" s="1"/>
  <c r="N18" i="4"/>
  <c r="N19" i="4" s="1"/>
  <c r="Q21" i="4"/>
  <c r="AE24" i="4" s="1"/>
  <c r="Q22" i="4"/>
  <c r="B105" i="1"/>
  <c r="B103" i="1"/>
  <c r="B101" i="1"/>
  <c r="B99" i="1"/>
  <c r="B97" i="1"/>
  <c r="B95" i="1"/>
  <c r="B93" i="1"/>
  <c r="B91" i="1"/>
  <c r="B89" i="1"/>
  <c r="AE56" i="1" l="1"/>
  <c r="T18" i="4"/>
  <c r="T19" i="4" s="1"/>
  <c r="AC20" i="4"/>
  <c r="Q18" i="4"/>
  <c r="Q19" i="4" s="1"/>
  <c r="Z20" i="4"/>
  <c r="T21" i="4"/>
  <c r="AH24" i="4" s="1"/>
  <c r="T22" i="4"/>
  <c r="T23" i="4"/>
  <c r="W17" i="4"/>
  <c r="W22" i="4" l="1"/>
  <c r="W23" i="4"/>
  <c r="W21" i="4"/>
  <c r="AK24" i="4" s="1"/>
  <c r="AF56" i="1"/>
  <c r="W18" i="4"/>
  <c r="W19" i="4" s="1"/>
  <c r="AF20" i="4"/>
  <c r="Z21" i="4"/>
  <c r="AN24" i="4" s="1"/>
  <c r="Z23" i="4"/>
  <c r="Z22" i="4"/>
  <c r="Z17" i="4"/>
  <c r="C122" i="1"/>
  <c r="C120" i="1"/>
  <c r="C118" i="1"/>
  <c r="C116" i="1"/>
  <c r="C114" i="1"/>
  <c r="C112" i="1"/>
  <c r="I71" i="1"/>
  <c r="E5" i="3"/>
  <c r="D91" i="1" s="1"/>
  <c r="AG56" i="1" l="1"/>
  <c r="Z18" i="4"/>
  <c r="Z19" i="4" s="1"/>
  <c r="AI20" i="4"/>
  <c r="AC21" i="4"/>
  <c r="AC22" i="4"/>
  <c r="AC23" i="4"/>
  <c r="AC17" i="4"/>
  <c r="AL116" i="1"/>
  <c r="AL117" i="1" s="1"/>
  <c r="AL71" i="1"/>
  <c r="AL112" i="1"/>
  <c r="AL113" i="1" s="1"/>
  <c r="AL118" i="1"/>
  <c r="AL119" i="1" s="1"/>
  <c r="AL114" i="1"/>
  <c r="AL115" i="1" s="1"/>
  <c r="AL122" i="1"/>
  <c r="AL120" i="1"/>
  <c r="AL121" i="1" s="1"/>
  <c r="AL91" i="1"/>
  <c r="AL92" i="1"/>
  <c r="E7" i="3"/>
  <c r="D95" i="1" s="1"/>
  <c r="E4" i="3"/>
  <c r="D89" i="1" s="1"/>
  <c r="E12" i="3"/>
  <c r="D105" i="1" s="1"/>
  <c r="E11" i="3"/>
  <c r="D103" i="1" s="1"/>
  <c r="E10" i="3"/>
  <c r="D101" i="1" s="1"/>
  <c r="E9" i="3"/>
  <c r="D99" i="1" s="1"/>
  <c r="E8" i="3"/>
  <c r="D97" i="1" s="1"/>
  <c r="E6" i="3"/>
  <c r="D93" i="1" s="1"/>
  <c r="C47" i="1"/>
  <c r="C10" i="5" s="1"/>
  <c r="C26" i="5" s="1"/>
  <c r="C27" i="5" s="1"/>
  <c r="C48" i="1"/>
  <c r="C11" i="5" s="1"/>
  <c r="C28" i="5" s="1"/>
  <c r="C29" i="5" s="1"/>
  <c r="I92" i="1"/>
  <c r="I122" i="1"/>
  <c r="I120" i="1"/>
  <c r="I118" i="1"/>
  <c r="I119" i="1" s="1"/>
  <c r="I116" i="1"/>
  <c r="I117" i="1" s="1"/>
  <c r="I114" i="1"/>
  <c r="I115" i="1" s="1"/>
  <c r="C91" i="1"/>
  <c r="C93" i="1"/>
  <c r="C95" i="1"/>
  <c r="C97" i="1"/>
  <c r="C99" i="1"/>
  <c r="C101" i="1"/>
  <c r="C103" i="1"/>
  <c r="C105" i="1"/>
  <c r="C89" i="1"/>
  <c r="C13" i="2"/>
  <c r="D13" i="2" s="1"/>
  <c r="C25" i="2"/>
  <c r="D25" i="2" s="1"/>
  <c r="C37" i="2"/>
  <c r="D37" i="2" s="1"/>
  <c r="D49" i="2"/>
  <c r="C49" i="2"/>
  <c r="C61" i="2"/>
  <c r="D61" i="2" s="1"/>
  <c r="D73" i="2"/>
  <c r="C73" i="2"/>
  <c r="C85" i="2"/>
  <c r="D85" i="2" s="1"/>
  <c r="C107" i="2"/>
  <c r="D107" i="2" s="1"/>
  <c r="C97" i="2"/>
  <c r="D97" i="2" s="1"/>
  <c r="I58" i="1"/>
  <c r="J57" i="1"/>
  <c r="AL93" i="1" l="1"/>
  <c r="I106" i="1"/>
  <c r="AH56" i="1"/>
  <c r="AC18" i="4"/>
  <c r="AC19" i="4" s="1"/>
  <c r="AL20" i="4"/>
  <c r="J67" i="1"/>
  <c r="J69" i="1"/>
  <c r="J70" i="1" s="1"/>
  <c r="J82" i="1"/>
  <c r="J80" i="1"/>
  <c r="J65" i="1"/>
  <c r="J66" i="1" s="1"/>
  <c r="J73" i="1"/>
  <c r="J76" i="1"/>
  <c r="J79" i="1"/>
  <c r="J74" i="1"/>
  <c r="J75" i="1"/>
  <c r="AL124" i="1"/>
  <c r="J61" i="1"/>
  <c r="AF22" i="4"/>
  <c r="AF23" i="4"/>
  <c r="AF21" i="4"/>
  <c r="AF17" i="4"/>
  <c r="I90" i="1"/>
  <c r="I89" i="1"/>
  <c r="AL125" i="1"/>
  <c r="I98" i="1"/>
  <c r="I97" i="1"/>
  <c r="AL101" i="1"/>
  <c r="AL102" i="1"/>
  <c r="AL103" i="1"/>
  <c r="AL104" i="1"/>
  <c r="AL97" i="1"/>
  <c r="AL98" i="1"/>
  <c r="AL95" i="1"/>
  <c r="AL96" i="1"/>
  <c r="AL100" i="1"/>
  <c r="AL99" i="1"/>
  <c r="I101" i="1"/>
  <c r="I100" i="1"/>
  <c r="I103" i="1"/>
  <c r="AL89" i="1"/>
  <c r="AL90" i="1"/>
  <c r="AL94" i="1"/>
  <c r="AL106" i="1"/>
  <c r="AL105" i="1"/>
  <c r="I93" i="1"/>
  <c r="K57" i="1"/>
  <c r="K65" i="1" s="1"/>
  <c r="K66" i="1" s="1"/>
  <c r="J116" i="1"/>
  <c r="J117" i="1" s="1"/>
  <c r="I94" i="1"/>
  <c r="J105" i="1"/>
  <c r="J114" i="1"/>
  <c r="J115" i="1" s="1"/>
  <c r="I102" i="1"/>
  <c r="J103" i="1"/>
  <c r="J122" i="1"/>
  <c r="I91" i="1"/>
  <c r="I99" i="1"/>
  <c r="J120" i="1"/>
  <c r="J121" i="1" s="1"/>
  <c r="J118" i="1"/>
  <c r="J119" i="1" s="1"/>
  <c r="J101" i="1"/>
  <c r="J94" i="1"/>
  <c r="J98" i="1"/>
  <c r="J102" i="1"/>
  <c r="J106" i="1"/>
  <c r="I124" i="1"/>
  <c r="J112" i="1"/>
  <c r="J113" i="1" s="1"/>
  <c r="I95" i="1"/>
  <c r="J91" i="1"/>
  <c r="I96" i="1"/>
  <c r="I104" i="1"/>
  <c r="J95" i="1"/>
  <c r="J92" i="1"/>
  <c r="J99" i="1"/>
  <c r="I105" i="1"/>
  <c r="J89" i="1"/>
  <c r="J96" i="1"/>
  <c r="J100" i="1"/>
  <c r="J104" i="1"/>
  <c r="J93" i="1"/>
  <c r="J90" i="1"/>
  <c r="J97" i="1"/>
  <c r="I121" i="1"/>
  <c r="I125" i="1" s="1"/>
  <c r="J58" i="1"/>
  <c r="J71" i="1"/>
  <c r="AI56" i="1" l="1"/>
  <c r="AF18" i="4"/>
  <c r="AF19" i="4" s="1"/>
  <c r="AO20" i="4"/>
  <c r="J68" i="1"/>
  <c r="J59" i="1" s="1"/>
  <c r="J60" i="1" s="1"/>
  <c r="K114" i="1"/>
  <c r="K115" i="1" s="1"/>
  <c r="K95" i="1"/>
  <c r="K69" i="1"/>
  <c r="K70" i="1" s="1"/>
  <c r="K120" i="1"/>
  <c r="K121" i="1" s="1"/>
  <c r="K91" i="1"/>
  <c r="K90" i="1"/>
  <c r="K112" i="1"/>
  <c r="K113" i="1" s="1"/>
  <c r="K92" i="1"/>
  <c r="K58" i="1"/>
  <c r="J62" i="1"/>
  <c r="J63" i="1"/>
  <c r="J64" i="1" s="1"/>
  <c r="K80" i="1"/>
  <c r="K82" i="1"/>
  <c r="L57" i="1"/>
  <c r="L65" i="1" s="1"/>
  <c r="L66" i="1" s="1"/>
  <c r="K61" i="1"/>
  <c r="K71" i="1"/>
  <c r="K105" i="1"/>
  <c r="K104" i="1"/>
  <c r="K116" i="1"/>
  <c r="K117" i="1" s="1"/>
  <c r="K100" i="1"/>
  <c r="K99" i="1"/>
  <c r="K75" i="1"/>
  <c r="K73" i="1"/>
  <c r="K76" i="1"/>
  <c r="K79" i="1"/>
  <c r="K74" i="1"/>
  <c r="AI23" i="4"/>
  <c r="AI21" i="4"/>
  <c r="AI22" i="4"/>
  <c r="AI17" i="4"/>
  <c r="AI18" i="4" s="1"/>
  <c r="AL107" i="1"/>
  <c r="AL108" i="1"/>
  <c r="I108" i="1"/>
  <c r="J108" i="1"/>
  <c r="K102" i="1"/>
  <c r="K101" i="1"/>
  <c r="K97" i="1"/>
  <c r="K94" i="1"/>
  <c r="K96" i="1"/>
  <c r="K89" i="1"/>
  <c r="K98" i="1"/>
  <c r="K103" i="1"/>
  <c r="K122" i="1"/>
  <c r="K93" i="1"/>
  <c r="K118" i="1"/>
  <c r="K119" i="1" s="1"/>
  <c r="K106" i="1"/>
  <c r="J124" i="1"/>
  <c r="I107" i="1"/>
  <c r="J107" i="1"/>
  <c r="J125" i="1"/>
  <c r="L92" i="1" l="1"/>
  <c r="L106" i="1"/>
  <c r="L102" i="1"/>
  <c r="L104" i="1"/>
  <c r="L101" i="1"/>
  <c r="L114" i="1"/>
  <c r="L115" i="1" s="1"/>
  <c r="L93" i="1"/>
  <c r="L99" i="1"/>
  <c r="L122" i="1"/>
  <c r="L89" i="1"/>
  <c r="L96" i="1"/>
  <c r="L94" i="1"/>
  <c r="AJ56" i="1"/>
  <c r="L69" i="1"/>
  <c r="L70" i="1" s="1"/>
  <c r="L100" i="1"/>
  <c r="L98" i="1"/>
  <c r="L91" i="1"/>
  <c r="L112" i="1"/>
  <c r="L113" i="1" s="1"/>
  <c r="L95" i="1"/>
  <c r="M57" i="1"/>
  <c r="M101" i="1" s="1"/>
  <c r="L105" i="1"/>
  <c r="L103" i="1"/>
  <c r="L71" i="1"/>
  <c r="L116" i="1"/>
  <c r="L117" i="1" s="1"/>
  <c r="K125" i="1"/>
  <c r="L90" i="1"/>
  <c r="L118" i="1"/>
  <c r="L119" i="1" s="1"/>
  <c r="L120" i="1"/>
  <c r="L121" i="1" s="1"/>
  <c r="L58" i="1"/>
  <c r="L97" i="1"/>
  <c r="L80" i="1"/>
  <c r="L82" i="1"/>
  <c r="K62" i="1"/>
  <c r="K63" i="1"/>
  <c r="K64" i="1" s="1"/>
  <c r="L74" i="1"/>
  <c r="L75" i="1"/>
  <c r="L76" i="1"/>
  <c r="L79" i="1"/>
  <c r="L73" i="1"/>
  <c r="K124" i="1"/>
  <c r="L61" i="1"/>
  <c r="AL22" i="4"/>
  <c r="AL21" i="4"/>
  <c r="AL23" i="4"/>
  <c r="AL17" i="4"/>
  <c r="AL18" i="4" s="1"/>
  <c r="AI19" i="4"/>
  <c r="K107" i="1"/>
  <c r="K108" i="1"/>
  <c r="AK56" i="1" l="1"/>
  <c r="M105" i="1"/>
  <c r="M102" i="1"/>
  <c r="M114" i="1"/>
  <c r="M115" i="1" s="1"/>
  <c r="M99" i="1"/>
  <c r="M100" i="1"/>
  <c r="M91" i="1"/>
  <c r="M97" i="1"/>
  <c r="M112" i="1"/>
  <c r="M113" i="1" s="1"/>
  <c r="L108" i="1"/>
  <c r="M98" i="1"/>
  <c r="M90" i="1"/>
  <c r="M120" i="1"/>
  <c r="M121" i="1" s="1"/>
  <c r="M104" i="1"/>
  <c r="M96" i="1"/>
  <c r="M103" i="1"/>
  <c r="M118" i="1"/>
  <c r="M119" i="1" s="1"/>
  <c r="L125" i="1"/>
  <c r="M65" i="1"/>
  <c r="M58" i="1"/>
  <c r="M92" i="1"/>
  <c r="M93" i="1"/>
  <c r="M116" i="1"/>
  <c r="M117" i="1" s="1"/>
  <c r="M61" i="1"/>
  <c r="M63" i="1" s="1"/>
  <c r="M71" i="1"/>
  <c r="M95" i="1"/>
  <c r="N57" i="1"/>
  <c r="N102" i="1" s="1"/>
  <c r="M106" i="1"/>
  <c r="L107" i="1"/>
  <c r="M94" i="1"/>
  <c r="M122" i="1"/>
  <c r="L124" i="1"/>
  <c r="M89" i="1"/>
  <c r="M80" i="1"/>
  <c r="M82" i="1"/>
  <c r="L62" i="1"/>
  <c r="L63" i="1"/>
  <c r="L64" i="1" s="1"/>
  <c r="M74" i="1"/>
  <c r="M79" i="1"/>
  <c r="M75" i="1"/>
  <c r="M76" i="1"/>
  <c r="M73" i="1"/>
  <c r="AO21" i="4"/>
  <c r="AO22" i="4"/>
  <c r="AO23" i="4"/>
  <c r="AO17" i="4"/>
  <c r="AL19" i="4"/>
  <c r="N99" i="1" l="1"/>
  <c r="N92" i="1"/>
  <c r="N89" i="1"/>
  <c r="AL56" i="1"/>
  <c r="AO18" i="4"/>
  <c r="AO19" i="4" s="1"/>
  <c r="M107" i="1"/>
  <c r="M125" i="1"/>
  <c r="N105" i="1"/>
  <c r="N71" i="1"/>
  <c r="O57" i="1"/>
  <c r="O103" i="1" s="1"/>
  <c r="N94" i="1"/>
  <c r="N120" i="1"/>
  <c r="N121" i="1" s="1"/>
  <c r="N100" i="1"/>
  <c r="N101" i="1"/>
  <c r="M124" i="1"/>
  <c r="N97" i="1"/>
  <c r="M108" i="1"/>
  <c r="N58" i="1"/>
  <c r="N95" i="1"/>
  <c r="N118" i="1"/>
  <c r="N119" i="1" s="1"/>
  <c r="N65" i="1"/>
  <c r="N114" i="1"/>
  <c r="N115" i="1" s="1"/>
  <c r="N96" i="1"/>
  <c r="N61" i="1"/>
  <c r="N62" i="1" s="1"/>
  <c r="N104" i="1"/>
  <c r="N103" i="1"/>
  <c r="N98" i="1"/>
  <c r="N116" i="1"/>
  <c r="N117" i="1" s="1"/>
  <c r="N91" i="1"/>
  <c r="N112" i="1"/>
  <c r="N113" i="1" s="1"/>
  <c r="N122" i="1"/>
  <c r="N93" i="1"/>
  <c r="M62" i="1"/>
  <c r="N90" i="1"/>
  <c r="N106" i="1"/>
  <c r="N80" i="1"/>
  <c r="N82" i="1"/>
  <c r="N74" i="1"/>
  <c r="N75" i="1"/>
  <c r="N73" i="1"/>
  <c r="N76" i="1"/>
  <c r="N79" i="1"/>
  <c r="O65" i="1" l="1"/>
  <c r="O61" i="1"/>
  <c r="O63" i="1" s="1"/>
  <c r="O71" i="1"/>
  <c r="O122" i="1"/>
  <c r="O98" i="1"/>
  <c r="O90" i="1"/>
  <c r="O89" i="1"/>
  <c r="O102" i="1"/>
  <c r="O104" i="1"/>
  <c r="O91" i="1"/>
  <c r="O58" i="1"/>
  <c r="O114" i="1"/>
  <c r="O115" i="1" s="1"/>
  <c r="O100" i="1"/>
  <c r="O92" i="1"/>
  <c r="O116" i="1"/>
  <c r="O117" i="1" s="1"/>
  <c r="O95" i="1"/>
  <c r="O118" i="1"/>
  <c r="O119" i="1" s="1"/>
  <c r="O99" i="1"/>
  <c r="O96" i="1"/>
  <c r="O94" i="1"/>
  <c r="O112" i="1"/>
  <c r="O113" i="1" s="1"/>
  <c r="O101" i="1"/>
  <c r="O97" i="1"/>
  <c r="P57" i="1"/>
  <c r="O106" i="1"/>
  <c r="O105" i="1"/>
  <c r="O120" i="1"/>
  <c r="O121" i="1" s="1"/>
  <c r="O93" i="1"/>
  <c r="N125" i="1"/>
  <c r="N108" i="1"/>
  <c r="N124" i="1"/>
  <c r="N107" i="1"/>
  <c r="N63" i="1"/>
  <c r="O80" i="1"/>
  <c r="O82" i="1"/>
  <c r="O62" i="1"/>
  <c r="O74" i="1"/>
  <c r="O75" i="1"/>
  <c r="O76" i="1"/>
  <c r="O73" i="1"/>
  <c r="O79" i="1"/>
  <c r="P98" i="1" l="1"/>
  <c r="P95" i="1"/>
  <c r="P92" i="1"/>
  <c r="P89" i="1"/>
  <c r="P71" i="1"/>
  <c r="P122" i="1"/>
  <c r="P94" i="1"/>
  <c r="P99" i="1"/>
  <c r="P101" i="1"/>
  <c r="P96" i="1"/>
  <c r="P106" i="1"/>
  <c r="P114" i="1"/>
  <c r="P115" i="1" s="1"/>
  <c r="P90" i="1"/>
  <c r="P120" i="1"/>
  <c r="P121" i="1" s="1"/>
  <c r="V57" i="1"/>
  <c r="O108" i="1"/>
  <c r="O124" i="1"/>
  <c r="P102" i="1"/>
  <c r="P100" i="1"/>
  <c r="P103" i="1"/>
  <c r="P112" i="1"/>
  <c r="P113" i="1" s="1"/>
  <c r="P105" i="1"/>
  <c r="P97" i="1"/>
  <c r="P65" i="1"/>
  <c r="O125" i="1"/>
  <c r="P118" i="1"/>
  <c r="P119" i="1" s="1"/>
  <c r="P116" i="1"/>
  <c r="P117" i="1" s="1"/>
  <c r="P58" i="1"/>
  <c r="P93" i="1"/>
  <c r="P61" i="1"/>
  <c r="P62" i="1" s="1"/>
  <c r="P104" i="1"/>
  <c r="P91" i="1"/>
  <c r="O107" i="1"/>
  <c r="P72" i="1"/>
  <c r="P82" i="1"/>
  <c r="P80" i="1"/>
  <c r="P79" i="1"/>
  <c r="P74" i="1"/>
  <c r="P76" i="1"/>
  <c r="P75" i="1"/>
  <c r="P73" i="1"/>
  <c r="S57" i="1" l="1"/>
  <c r="V65" i="1"/>
  <c r="V82" i="1"/>
  <c r="T57" i="1"/>
  <c r="T82" i="1" s="1"/>
  <c r="R57" i="1"/>
  <c r="U57" i="1"/>
  <c r="Q57" i="1"/>
  <c r="P108" i="1"/>
  <c r="V97" i="1"/>
  <c r="V98" i="1"/>
  <c r="V96" i="1"/>
  <c r="V95" i="1"/>
  <c r="V58" i="1"/>
  <c r="V118" i="1"/>
  <c r="V119" i="1" s="1"/>
  <c r="V71" i="1"/>
  <c r="V120" i="1"/>
  <c r="V121" i="1" s="1"/>
  <c r="V106" i="1"/>
  <c r="V89" i="1"/>
  <c r="V102" i="1"/>
  <c r="V104" i="1"/>
  <c r="P107" i="1"/>
  <c r="V105" i="1"/>
  <c r="V61" i="1"/>
  <c r="V63" i="1" s="1"/>
  <c r="V92" i="1"/>
  <c r="V116" i="1"/>
  <c r="V117" i="1" s="1"/>
  <c r="P63" i="1"/>
  <c r="V91" i="1"/>
  <c r="V100" i="1"/>
  <c r="V114" i="1"/>
  <c r="V115" i="1" s="1"/>
  <c r="V103" i="1"/>
  <c r="V99" i="1"/>
  <c r="V112" i="1"/>
  <c r="V113" i="1" s="1"/>
  <c r="V94" i="1"/>
  <c r="V93" i="1"/>
  <c r="V122" i="1"/>
  <c r="V101" i="1"/>
  <c r="V90" i="1"/>
  <c r="AA57" i="1"/>
  <c r="P124" i="1"/>
  <c r="P125" i="1"/>
  <c r="V79" i="1"/>
  <c r="V80" i="1"/>
  <c r="V74" i="1"/>
  <c r="V76" i="1"/>
  <c r="V73" i="1"/>
  <c r="V75" i="1"/>
  <c r="U82" i="1" l="1"/>
  <c r="U61" i="1"/>
  <c r="U63" i="1" s="1"/>
  <c r="AA93" i="1"/>
  <c r="AA81" i="1"/>
  <c r="T58" i="1"/>
  <c r="T71" i="1"/>
  <c r="T122" i="1"/>
  <c r="T112" i="1"/>
  <c r="T120" i="1"/>
  <c r="T121" i="1" s="1"/>
  <c r="T114" i="1"/>
  <c r="T115" i="1" s="1"/>
  <c r="T116" i="1"/>
  <c r="T117" i="1" s="1"/>
  <c r="T118" i="1"/>
  <c r="T119" i="1" s="1"/>
  <c r="T65" i="1"/>
  <c r="T61" i="1"/>
  <c r="T91" i="1"/>
  <c r="T92" i="1"/>
  <c r="T96" i="1"/>
  <c r="T105" i="1"/>
  <c r="T99" i="1"/>
  <c r="T104" i="1"/>
  <c r="T100" i="1"/>
  <c r="T98" i="1"/>
  <c r="T95" i="1"/>
  <c r="T106" i="1"/>
  <c r="T89" i="1"/>
  <c r="T103" i="1"/>
  <c r="T97" i="1"/>
  <c r="T90" i="1"/>
  <c r="T101" i="1"/>
  <c r="T102" i="1"/>
  <c r="T94" i="1"/>
  <c r="T93" i="1"/>
  <c r="S112" i="1"/>
  <c r="S120" i="1"/>
  <c r="S121" i="1" s="1"/>
  <c r="S122" i="1"/>
  <c r="S118" i="1"/>
  <c r="S119" i="1" s="1"/>
  <c r="S114" i="1"/>
  <c r="S115" i="1" s="1"/>
  <c r="S116" i="1"/>
  <c r="S117" i="1" s="1"/>
  <c r="S91" i="1"/>
  <c r="S92" i="1"/>
  <c r="S105" i="1"/>
  <c r="S100" i="1"/>
  <c r="S103" i="1"/>
  <c r="S95" i="1"/>
  <c r="S96" i="1"/>
  <c r="S106" i="1"/>
  <c r="S99" i="1"/>
  <c r="S89" i="1"/>
  <c r="S97" i="1"/>
  <c r="S98" i="1"/>
  <c r="S90" i="1"/>
  <c r="S104" i="1"/>
  <c r="S94" i="1"/>
  <c r="S93" i="1"/>
  <c r="S101" i="1"/>
  <c r="S102" i="1"/>
  <c r="AA105" i="1"/>
  <c r="AA101" i="1"/>
  <c r="S58" i="1"/>
  <c r="S65" i="1"/>
  <c r="S61" i="1"/>
  <c r="S71" i="1"/>
  <c r="AA102" i="1"/>
  <c r="AA91" i="1"/>
  <c r="AA99" i="1"/>
  <c r="AA90" i="1"/>
  <c r="AA97" i="1"/>
  <c r="AA95" i="1"/>
  <c r="AA71" i="1"/>
  <c r="U120" i="1"/>
  <c r="U121" i="1" s="1"/>
  <c r="U58" i="1"/>
  <c r="U116" i="1"/>
  <c r="U117" i="1" s="1"/>
  <c r="U112" i="1"/>
  <c r="U122" i="1"/>
  <c r="U114" i="1"/>
  <c r="U115" i="1" s="1"/>
  <c r="U71" i="1"/>
  <c r="U65" i="1"/>
  <c r="U118" i="1"/>
  <c r="U119" i="1" s="1"/>
  <c r="U92" i="1"/>
  <c r="U91" i="1"/>
  <c r="U93" i="1"/>
  <c r="U89" i="1"/>
  <c r="U90" i="1"/>
  <c r="U97" i="1"/>
  <c r="U101" i="1"/>
  <c r="U102" i="1"/>
  <c r="U105" i="1"/>
  <c r="U95" i="1"/>
  <c r="U96" i="1"/>
  <c r="U106" i="1"/>
  <c r="U99" i="1"/>
  <c r="U104" i="1"/>
  <c r="U94" i="1"/>
  <c r="U100" i="1"/>
  <c r="U103" i="1"/>
  <c r="U98" i="1"/>
  <c r="AA65" i="1"/>
  <c r="AA118" i="1"/>
  <c r="AA119" i="1" s="1"/>
  <c r="R116" i="1"/>
  <c r="R117" i="1" s="1"/>
  <c r="R58" i="1"/>
  <c r="R112" i="1"/>
  <c r="R122" i="1"/>
  <c r="R61" i="1"/>
  <c r="R71" i="1"/>
  <c r="R65" i="1"/>
  <c r="R118" i="1"/>
  <c r="R119" i="1" s="1"/>
  <c r="R114" i="1"/>
  <c r="R115" i="1" s="1"/>
  <c r="R120" i="1"/>
  <c r="R121" i="1" s="1"/>
  <c r="R91" i="1"/>
  <c r="R92" i="1"/>
  <c r="R97" i="1"/>
  <c r="R101" i="1"/>
  <c r="R95" i="1"/>
  <c r="R104" i="1"/>
  <c r="R106" i="1"/>
  <c r="R99" i="1"/>
  <c r="R103" i="1"/>
  <c r="R100" i="1"/>
  <c r="R96" i="1"/>
  <c r="R93" i="1"/>
  <c r="R105" i="1"/>
  <c r="R98" i="1"/>
  <c r="R102" i="1"/>
  <c r="R89" i="1"/>
  <c r="R94" i="1"/>
  <c r="R90" i="1"/>
  <c r="AA116" i="1"/>
  <c r="AA117" i="1" s="1"/>
  <c r="AA112" i="1"/>
  <c r="AA113" i="1" s="1"/>
  <c r="V125" i="1"/>
  <c r="AA98" i="1"/>
  <c r="AA96" i="1"/>
  <c r="Q112" i="1"/>
  <c r="Q118" i="1"/>
  <c r="Q119" i="1" s="1"/>
  <c r="Q114" i="1"/>
  <c r="Q115" i="1" s="1"/>
  <c r="Q61" i="1"/>
  <c r="Q71" i="1"/>
  <c r="Q122" i="1"/>
  <c r="Q65" i="1"/>
  <c r="Q58" i="1"/>
  <c r="Q116" i="1"/>
  <c r="Q117" i="1" s="1"/>
  <c r="Q120" i="1"/>
  <c r="Q121" i="1" s="1"/>
  <c r="Q91" i="1"/>
  <c r="Q92" i="1"/>
  <c r="Q95" i="1"/>
  <c r="Q89" i="1"/>
  <c r="Q101" i="1"/>
  <c r="Q96" i="1"/>
  <c r="Q106" i="1"/>
  <c r="Q99" i="1"/>
  <c r="Q103" i="1"/>
  <c r="Q97" i="1"/>
  <c r="Q104" i="1"/>
  <c r="Q105" i="1"/>
  <c r="Q100" i="1"/>
  <c r="Q94" i="1"/>
  <c r="Q98" i="1"/>
  <c r="Q102" i="1"/>
  <c r="Q90" i="1"/>
  <c r="Q93" i="1"/>
  <c r="V62" i="1"/>
  <c r="AA114" i="1"/>
  <c r="AA115" i="1" s="1"/>
  <c r="V107" i="1"/>
  <c r="AA106" i="1"/>
  <c r="AA122" i="1"/>
  <c r="AA61" i="1"/>
  <c r="AA63" i="1" s="1"/>
  <c r="V108" i="1"/>
  <c r="AA103" i="1"/>
  <c r="AA94" i="1"/>
  <c r="AA58" i="1"/>
  <c r="AA89" i="1"/>
  <c r="AA100" i="1"/>
  <c r="AB57" i="1"/>
  <c r="W57" i="1" s="1"/>
  <c r="V124" i="1"/>
  <c r="AA92" i="1"/>
  <c r="AA120" i="1"/>
  <c r="AA121" i="1" s="1"/>
  <c r="AA104" i="1"/>
  <c r="AA82" i="1"/>
  <c r="AA80" i="1"/>
  <c r="AA79" i="1"/>
  <c r="AA75" i="1"/>
  <c r="AA76" i="1"/>
  <c r="AA73" i="1"/>
  <c r="AA74" i="1"/>
  <c r="W58" i="1" l="1"/>
  <c r="W65" i="1"/>
  <c r="W71" i="1"/>
  <c r="W61" i="1"/>
  <c r="S69" i="1"/>
  <c r="S70" i="1" s="1"/>
  <c r="Z69" i="1"/>
  <c r="Z70" i="1" s="1"/>
  <c r="Z67" i="1"/>
  <c r="Z72" i="1"/>
  <c r="W72" i="1"/>
  <c r="W67" i="1"/>
  <c r="X67" i="1"/>
  <c r="Y69" i="1"/>
  <c r="Y70" i="1" s="1"/>
  <c r="Y67" i="1"/>
  <c r="W69" i="1"/>
  <c r="W70" i="1" s="1"/>
  <c r="X72" i="1"/>
  <c r="W66" i="1"/>
  <c r="Y72" i="1"/>
  <c r="X69" i="1"/>
  <c r="X70" i="1" s="1"/>
  <c r="Z57" i="1"/>
  <c r="Y57" i="1"/>
  <c r="X57" i="1"/>
  <c r="U67" i="1"/>
  <c r="U66" i="1"/>
  <c r="T69" i="1"/>
  <c r="T70" i="1" s="1"/>
  <c r="T67" i="1"/>
  <c r="Q67" i="1"/>
  <c r="S67" i="1"/>
  <c r="Q69" i="1"/>
  <c r="Q70" i="1" s="1"/>
  <c r="R69" i="1"/>
  <c r="R70" i="1" s="1"/>
  <c r="R67" i="1"/>
  <c r="Q66" i="1"/>
  <c r="U69" i="1"/>
  <c r="U70" i="1" s="1"/>
  <c r="S66" i="1"/>
  <c r="R66" i="1"/>
  <c r="T66" i="1"/>
  <c r="AB65" i="1"/>
  <c r="AB81" i="1"/>
  <c r="T108" i="1"/>
  <c r="R108" i="1"/>
  <c r="S107" i="1"/>
  <c r="S108" i="1"/>
  <c r="T62" i="1"/>
  <c r="T63" i="1"/>
  <c r="T64" i="1" s="1"/>
  <c r="S113" i="1"/>
  <c r="S125" i="1" s="1"/>
  <c r="S124" i="1"/>
  <c r="T107" i="1"/>
  <c r="T113" i="1"/>
  <c r="T125" i="1" s="1"/>
  <c r="T124" i="1"/>
  <c r="AA62" i="1"/>
  <c r="AA107" i="1"/>
  <c r="S62" i="1"/>
  <c r="S63" i="1"/>
  <c r="S64" i="1" s="1"/>
  <c r="U108" i="1"/>
  <c r="U113" i="1"/>
  <c r="U125" i="1" s="1"/>
  <c r="U124" i="1"/>
  <c r="Q108" i="1"/>
  <c r="Q124" i="1"/>
  <c r="Q113" i="1"/>
  <c r="Q125" i="1" s="1"/>
  <c r="R62" i="1"/>
  <c r="R63" i="1"/>
  <c r="R64" i="1" s="1"/>
  <c r="Q62" i="1"/>
  <c r="Q63" i="1"/>
  <c r="Q64" i="1" s="1"/>
  <c r="R107" i="1"/>
  <c r="R124" i="1"/>
  <c r="R113" i="1"/>
  <c r="R125" i="1" s="1"/>
  <c r="AB103" i="1"/>
  <c r="U107" i="1"/>
  <c r="U62" i="1"/>
  <c r="U64" i="1"/>
  <c r="Q107" i="1"/>
  <c r="AB102" i="1"/>
  <c r="AB90" i="1"/>
  <c r="AB91" i="1"/>
  <c r="AB118" i="1"/>
  <c r="AB119" i="1" s="1"/>
  <c r="AB95" i="1"/>
  <c r="AB101" i="1"/>
  <c r="AB116" i="1"/>
  <c r="AB117" i="1" s="1"/>
  <c r="AA108" i="1"/>
  <c r="AB98" i="1"/>
  <c r="AB100" i="1"/>
  <c r="AB106" i="1"/>
  <c r="AB104" i="1"/>
  <c r="AB92" i="1"/>
  <c r="AB89" i="1"/>
  <c r="AB96" i="1"/>
  <c r="AB93" i="1"/>
  <c r="AB122" i="1"/>
  <c r="AB58" i="1"/>
  <c r="AB97" i="1"/>
  <c r="AB105" i="1"/>
  <c r="AB94" i="1"/>
  <c r="AC57" i="1"/>
  <c r="AB120" i="1"/>
  <c r="AB121" i="1" s="1"/>
  <c r="AB99" i="1"/>
  <c r="AB71" i="1"/>
  <c r="AB112" i="1"/>
  <c r="AB113" i="1" s="1"/>
  <c r="AB114" i="1"/>
  <c r="AB115" i="1" s="1"/>
  <c r="AB61" i="1"/>
  <c r="AB62" i="1" s="1"/>
  <c r="AA124" i="1"/>
  <c r="AA125" i="1"/>
  <c r="AB82" i="1"/>
  <c r="AB80" i="1"/>
  <c r="V72" i="1" s="1"/>
  <c r="AB79" i="1"/>
  <c r="AB76" i="1"/>
  <c r="AB73" i="1"/>
  <c r="AB75" i="1"/>
  <c r="AB74" i="1"/>
  <c r="S68" i="1" l="1"/>
  <c r="X71" i="1"/>
  <c r="X58" i="1"/>
  <c r="X65" i="1"/>
  <c r="X66" i="1" s="1"/>
  <c r="X59" i="1" s="1"/>
  <c r="X60" i="1" s="1"/>
  <c r="X61" i="1"/>
  <c r="W63" i="1"/>
  <c r="W64" i="1" s="1"/>
  <c r="W62" i="1"/>
  <c r="Y71" i="1"/>
  <c r="Y61" i="1"/>
  <c r="Y58" i="1"/>
  <c r="Y65" i="1"/>
  <c r="Y66" i="1" s="1"/>
  <c r="Z71" i="1"/>
  <c r="Z58" i="1"/>
  <c r="Z65" i="1"/>
  <c r="Z66" i="1" s="1"/>
  <c r="Z61" i="1"/>
  <c r="X68" i="1"/>
  <c r="W68" i="1"/>
  <c r="W59" i="1" s="1"/>
  <c r="W60" i="1" s="1"/>
  <c r="Z68" i="1"/>
  <c r="Z59" i="1" s="1"/>
  <c r="Z60" i="1" s="1"/>
  <c r="Y68" i="1"/>
  <c r="T68" i="1"/>
  <c r="T59" i="1" s="1"/>
  <c r="T60" i="1" s="1"/>
  <c r="S59" i="1"/>
  <c r="S60" i="1" s="1"/>
  <c r="Q68" i="1"/>
  <c r="Q59" i="1" s="1"/>
  <c r="Q60" i="1" s="1"/>
  <c r="U68" i="1"/>
  <c r="U59" i="1" s="1"/>
  <c r="U60" i="1" s="1"/>
  <c r="R68" i="1"/>
  <c r="R59" i="1" s="1"/>
  <c r="R60" i="1" s="1"/>
  <c r="AC65" i="1"/>
  <c r="AC81" i="1"/>
  <c r="AC82" i="1" s="1"/>
  <c r="AD57" i="1"/>
  <c r="AD104" i="1" s="1"/>
  <c r="AC93" i="1"/>
  <c r="AC97" i="1"/>
  <c r="AC95" i="1"/>
  <c r="AC122" i="1"/>
  <c r="AC61" i="1"/>
  <c r="AC63" i="1" s="1"/>
  <c r="AC105" i="1"/>
  <c r="AC104" i="1"/>
  <c r="AC90" i="1"/>
  <c r="AC118" i="1"/>
  <c r="AC119" i="1" s="1"/>
  <c r="AC112" i="1"/>
  <c r="AC113" i="1" s="1"/>
  <c r="AC91" i="1"/>
  <c r="AC99" i="1"/>
  <c r="AC116" i="1"/>
  <c r="AC117" i="1" s="1"/>
  <c r="AC101" i="1"/>
  <c r="AC92" i="1"/>
  <c r="AC58" i="1"/>
  <c r="AB125" i="1"/>
  <c r="AC96" i="1"/>
  <c r="AC89" i="1"/>
  <c r="AB124" i="1"/>
  <c r="AB108" i="1"/>
  <c r="AB63" i="1"/>
  <c r="AC114" i="1"/>
  <c r="AC115" i="1" s="1"/>
  <c r="AC100" i="1"/>
  <c r="AC102" i="1"/>
  <c r="AC98" i="1"/>
  <c r="AB107" i="1"/>
  <c r="AC94" i="1"/>
  <c r="AC106" i="1"/>
  <c r="AC71" i="1"/>
  <c r="AC103" i="1"/>
  <c r="AC120" i="1"/>
  <c r="AC121" i="1" s="1"/>
  <c r="M64" i="1"/>
  <c r="N64" i="1"/>
  <c r="O64" i="1"/>
  <c r="P64" i="1"/>
  <c r="V64" i="1"/>
  <c r="V67" i="1"/>
  <c r="M66" i="1"/>
  <c r="O66" i="1"/>
  <c r="N66" i="1"/>
  <c r="V66" i="1"/>
  <c r="P66" i="1"/>
  <c r="V69" i="1"/>
  <c r="V70" i="1" s="1"/>
  <c r="L67" i="1"/>
  <c r="M69" i="1"/>
  <c r="M70" i="1" s="1"/>
  <c r="N69" i="1"/>
  <c r="N70" i="1" s="1"/>
  <c r="K67" i="1"/>
  <c r="P69" i="1"/>
  <c r="P70" i="1" s="1"/>
  <c r="M67" i="1"/>
  <c r="O69" i="1"/>
  <c r="O70" i="1" s="1"/>
  <c r="N67" i="1"/>
  <c r="O67" i="1"/>
  <c r="P67" i="1"/>
  <c r="AC80" i="1"/>
  <c r="AC73" i="1"/>
  <c r="AC75" i="1"/>
  <c r="AC79" i="1"/>
  <c r="AC74" i="1"/>
  <c r="AC76" i="1"/>
  <c r="AD58" i="1"/>
  <c r="AD61" i="1"/>
  <c r="AD63" i="1" s="1"/>
  <c r="AD99" i="1"/>
  <c r="AD96" i="1"/>
  <c r="AD114" i="1"/>
  <c r="AD115" i="1" s="1"/>
  <c r="AD102" i="1"/>
  <c r="AD112" i="1"/>
  <c r="AD105" i="1"/>
  <c r="Y59" i="1" l="1"/>
  <c r="Y60" i="1" s="1"/>
  <c r="Y63" i="1"/>
  <c r="Y64" i="1" s="1"/>
  <c r="Y62" i="1"/>
  <c r="X63" i="1"/>
  <c r="X64" i="1" s="1"/>
  <c r="X62" i="1"/>
  <c r="Z63" i="1"/>
  <c r="Z64" i="1" s="1"/>
  <c r="Z62" i="1"/>
  <c r="AD120" i="1"/>
  <c r="AD121" i="1" s="1"/>
  <c r="AD95" i="1"/>
  <c r="AD106" i="1"/>
  <c r="AD93" i="1"/>
  <c r="AD90" i="1"/>
  <c r="AD100" i="1"/>
  <c r="AD89" i="1"/>
  <c r="AE57" i="1"/>
  <c r="AE81" i="1" s="1"/>
  <c r="AD94" i="1"/>
  <c r="AD101" i="1"/>
  <c r="AD118" i="1"/>
  <c r="AD119" i="1" s="1"/>
  <c r="AD97" i="1"/>
  <c r="AD71" i="1"/>
  <c r="AD98" i="1"/>
  <c r="AD122" i="1"/>
  <c r="AD91" i="1"/>
  <c r="AD116" i="1"/>
  <c r="AD117" i="1" s="1"/>
  <c r="AD103" i="1"/>
  <c r="AD92" i="1"/>
  <c r="AC62" i="1"/>
  <c r="AD65" i="1"/>
  <c r="AD81" i="1"/>
  <c r="AD82" i="1" s="1"/>
  <c r="AC107" i="1"/>
  <c r="AC125" i="1"/>
  <c r="AC108" i="1"/>
  <c r="AC124" i="1"/>
  <c r="V68" i="1"/>
  <c r="V59" i="1" s="1"/>
  <c r="V60" i="1" s="1"/>
  <c r="K68" i="1"/>
  <c r="K59" i="1" s="1"/>
  <c r="K60" i="1" s="1"/>
  <c r="L68" i="1"/>
  <c r="L59" i="1" s="1"/>
  <c r="L60" i="1" s="1"/>
  <c r="P68" i="1"/>
  <c r="P59" i="1" s="1"/>
  <c r="P60" i="1" s="1"/>
  <c r="N68" i="1"/>
  <c r="N59" i="1" s="1"/>
  <c r="N60" i="1" s="1"/>
  <c r="O68" i="1"/>
  <c r="O59" i="1" s="1"/>
  <c r="O60" i="1" s="1"/>
  <c r="M68" i="1"/>
  <c r="M59" i="1" s="1"/>
  <c r="M60" i="1" s="1"/>
  <c r="AE61" i="1"/>
  <c r="AE65" i="1"/>
  <c r="AD62" i="1"/>
  <c r="AD80" i="1"/>
  <c r="AD73" i="1"/>
  <c r="AD75" i="1"/>
  <c r="AD76" i="1"/>
  <c r="AD79" i="1"/>
  <c r="AD74" i="1"/>
  <c r="AD113" i="1"/>
  <c r="AF57" i="1"/>
  <c r="AF81" i="1" s="1"/>
  <c r="AE94" i="1"/>
  <c r="AE99" i="1"/>
  <c r="AE93" i="1"/>
  <c r="AE101" i="1"/>
  <c r="AE116" i="1"/>
  <c r="AE117" i="1" s="1"/>
  <c r="AE58" i="1"/>
  <c r="AE114" i="1"/>
  <c r="AE115" i="1" s="1"/>
  <c r="AE95" i="1"/>
  <c r="AE104" i="1" l="1"/>
  <c r="AE71" i="1"/>
  <c r="AE97" i="1"/>
  <c r="AE106" i="1"/>
  <c r="AD107" i="1"/>
  <c r="AD124" i="1"/>
  <c r="AE105" i="1"/>
  <c r="AE91" i="1"/>
  <c r="AE89" i="1"/>
  <c r="AD108" i="1"/>
  <c r="AE100" i="1"/>
  <c r="AE118" i="1"/>
  <c r="AE119" i="1" s="1"/>
  <c r="AE112" i="1"/>
  <c r="AE103" i="1"/>
  <c r="AE120" i="1"/>
  <c r="AE121" i="1" s="1"/>
  <c r="AE90" i="1"/>
  <c r="AE92" i="1"/>
  <c r="AD125" i="1"/>
  <c r="AE102" i="1"/>
  <c r="AE122" i="1"/>
  <c r="AE96" i="1"/>
  <c r="AE98" i="1"/>
  <c r="AE80" i="1"/>
  <c r="AE82" i="1"/>
  <c r="AF61" i="1"/>
  <c r="AF65" i="1"/>
  <c r="AE62" i="1"/>
  <c r="AE63" i="1"/>
  <c r="AE76" i="1"/>
  <c r="AE75" i="1"/>
  <c r="AE73" i="1"/>
  <c r="AE79" i="1"/>
  <c r="AE74" i="1"/>
  <c r="AF71" i="1"/>
  <c r="AE107" i="1"/>
  <c r="AE113" i="1"/>
  <c r="AE125" i="1" s="1"/>
  <c r="AG57" i="1"/>
  <c r="AG81" i="1" s="1"/>
  <c r="AF92" i="1"/>
  <c r="AF95" i="1"/>
  <c r="AF97" i="1"/>
  <c r="AF96" i="1"/>
  <c r="AF106" i="1"/>
  <c r="AF118" i="1"/>
  <c r="AF119" i="1" s="1"/>
  <c r="AF93" i="1"/>
  <c r="AF99" i="1"/>
  <c r="AF103" i="1"/>
  <c r="AF114" i="1"/>
  <c r="AF115" i="1" s="1"/>
  <c r="AF98" i="1"/>
  <c r="AF116" i="1"/>
  <c r="AF117" i="1" s="1"/>
  <c r="AF102" i="1"/>
  <c r="AF122" i="1"/>
  <c r="AF90" i="1"/>
  <c r="AF100" i="1"/>
  <c r="AF120" i="1"/>
  <c r="AF121" i="1" s="1"/>
  <c r="AF112" i="1"/>
  <c r="AF91" i="1"/>
  <c r="AF94" i="1"/>
  <c r="AF89" i="1"/>
  <c r="AF105" i="1"/>
  <c r="AF104" i="1"/>
  <c r="AF58" i="1"/>
  <c r="AF101" i="1"/>
  <c r="AE108" i="1" l="1"/>
  <c r="AE124" i="1"/>
  <c r="AG61" i="1"/>
  <c r="AG65" i="1"/>
  <c r="AF80" i="1"/>
  <c r="AF82" i="1"/>
  <c r="AF62" i="1"/>
  <c r="AF63" i="1"/>
  <c r="AF76" i="1"/>
  <c r="AF73" i="1"/>
  <c r="AF75" i="1"/>
  <c r="AF79" i="1"/>
  <c r="AF74" i="1"/>
  <c r="AG71" i="1"/>
  <c r="AF108" i="1"/>
  <c r="AF113" i="1"/>
  <c r="AF125" i="1" s="1"/>
  <c r="AF124" i="1"/>
  <c r="AF107" i="1"/>
  <c r="AH57" i="1"/>
  <c r="AH81" i="1" s="1"/>
  <c r="AG116" i="1"/>
  <c r="AG117" i="1" s="1"/>
  <c r="AG94" i="1"/>
  <c r="AG90" i="1"/>
  <c r="AG99" i="1"/>
  <c r="AG120" i="1"/>
  <c r="AG121" i="1" s="1"/>
  <c r="AG92" i="1"/>
  <c r="AG118" i="1"/>
  <c r="AG119" i="1" s="1"/>
  <c r="AG98" i="1"/>
  <c r="AG91" i="1"/>
  <c r="AG96" i="1"/>
  <c r="AG112" i="1"/>
  <c r="AG95" i="1"/>
  <c r="AG100" i="1"/>
  <c r="AG102" i="1"/>
  <c r="AG58" i="1"/>
  <c r="AG114" i="1"/>
  <c r="AG115" i="1" s="1"/>
  <c r="AG105" i="1"/>
  <c r="AG93" i="1"/>
  <c r="AG106" i="1"/>
  <c r="AG89" i="1"/>
  <c r="AG104" i="1"/>
  <c r="AG103" i="1"/>
  <c r="AG97" i="1"/>
  <c r="AG122" i="1"/>
  <c r="AG101" i="1"/>
  <c r="AG82" i="1" l="1"/>
  <c r="AG80" i="1"/>
  <c r="AH61" i="1"/>
  <c r="AH65" i="1"/>
  <c r="AG62" i="1"/>
  <c r="AG63" i="1"/>
  <c r="AG73" i="1"/>
  <c r="AG75" i="1"/>
  <c r="AG79" i="1"/>
  <c r="AG74" i="1"/>
  <c r="AG76" i="1"/>
  <c r="AH71" i="1"/>
  <c r="AI57" i="1"/>
  <c r="AI81" i="1" s="1"/>
  <c r="AG107" i="1"/>
  <c r="AG108" i="1"/>
  <c r="AG113" i="1"/>
  <c r="AG125" i="1" s="1"/>
  <c r="AG124" i="1"/>
  <c r="AH95" i="1"/>
  <c r="AH101" i="1"/>
  <c r="AH98" i="1"/>
  <c r="AH90" i="1"/>
  <c r="AH92" i="1"/>
  <c r="AH89" i="1"/>
  <c r="AH122" i="1"/>
  <c r="AH99" i="1"/>
  <c r="AH120" i="1"/>
  <c r="AH121" i="1" s="1"/>
  <c r="AH93" i="1"/>
  <c r="AH102" i="1"/>
  <c r="AH96" i="1"/>
  <c r="AH104" i="1"/>
  <c r="AH118" i="1"/>
  <c r="AH119" i="1" s="1"/>
  <c r="AH114" i="1"/>
  <c r="AH115" i="1" s="1"/>
  <c r="AH112" i="1"/>
  <c r="AH91" i="1"/>
  <c r="AH105" i="1"/>
  <c r="AH106" i="1"/>
  <c r="AH103" i="1"/>
  <c r="AH116" i="1"/>
  <c r="AH117" i="1" s="1"/>
  <c r="AH97" i="1"/>
  <c r="AH100" i="1"/>
  <c r="AH94" i="1"/>
  <c r="AH58" i="1"/>
  <c r="AA64" i="1" l="1"/>
  <c r="AA67" i="1"/>
  <c r="AA66" i="1"/>
  <c r="AA72" i="1"/>
  <c r="AA69" i="1"/>
  <c r="AA70" i="1" s="1"/>
  <c r="AB72" i="1"/>
  <c r="AB69" i="1"/>
  <c r="AB70" i="1" s="1"/>
  <c r="AB66" i="1"/>
  <c r="AB64" i="1"/>
  <c r="AB67" i="1"/>
  <c r="AI61" i="1"/>
  <c r="AI63" i="1" s="1"/>
  <c r="AI65" i="1"/>
  <c r="AH82" i="1"/>
  <c r="AH80" i="1"/>
  <c r="AH62" i="1"/>
  <c r="AH63" i="1"/>
  <c r="AH79" i="1"/>
  <c r="AH74" i="1"/>
  <c r="AH73" i="1"/>
  <c r="AH75" i="1"/>
  <c r="AH76" i="1"/>
  <c r="AI71" i="1"/>
  <c r="AJ57" i="1"/>
  <c r="AI112" i="1"/>
  <c r="AI118" i="1"/>
  <c r="AI119" i="1" s="1"/>
  <c r="AI114" i="1"/>
  <c r="AI115" i="1" s="1"/>
  <c r="AI58" i="1"/>
  <c r="AI120" i="1"/>
  <c r="AI121" i="1" s="1"/>
  <c r="AI116" i="1"/>
  <c r="AI117" i="1" s="1"/>
  <c r="AI122" i="1"/>
  <c r="AI91" i="1"/>
  <c r="AI92" i="1"/>
  <c r="AI98" i="1"/>
  <c r="AI93" i="1"/>
  <c r="AI106" i="1"/>
  <c r="AI97" i="1"/>
  <c r="AI105" i="1"/>
  <c r="AI103" i="1"/>
  <c r="AI89" i="1"/>
  <c r="AI94" i="1"/>
  <c r="AI104" i="1"/>
  <c r="AI99" i="1"/>
  <c r="AI90" i="1"/>
  <c r="AI100" i="1"/>
  <c r="AI101" i="1"/>
  <c r="AI95" i="1"/>
  <c r="AI102" i="1"/>
  <c r="AI96" i="1"/>
  <c r="AH107" i="1"/>
  <c r="AH113" i="1"/>
  <c r="AH125" i="1" s="1"/>
  <c r="AH124" i="1"/>
  <c r="AH108" i="1"/>
  <c r="D53" i="1" l="1"/>
  <c r="AJ81" i="1"/>
  <c r="AK81" i="1" s="1"/>
  <c r="AA68" i="1"/>
  <c r="AA59" i="1" s="1"/>
  <c r="AA60" i="1" s="1"/>
  <c r="AB68" i="1"/>
  <c r="AB59" i="1" s="1"/>
  <c r="AB60" i="1" s="1"/>
  <c r="AC66" i="1"/>
  <c r="AD64" i="1"/>
  <c r="AE64" i="1"/>
  <c r="AF64" i="1"/>
  <c r="AD66" i="1"/>
  <c r="AC64" i="1"/>
  <c r="AE66" i="1"/>
  <c r="AF66" i="1"/>
  <c r="AC69" i="1"/>
  <c r="AC70" i="1" s="1"/>
  <c r="AC72" i="1"/>
  <c r="AC67" i="1"/>
  <c r="AD67" i="1"/>
  <c r="AD72" i="1"/>
  <c r="AD69" i="1"/>
  <c r="AD70" i="1" s="1"/>
  <c r="AE69" i="1"/>
  <c r="AE70" i="1" s="1"/>
  <c r="AE72" i="1"/>
  <c r="AE67" i="1"/>
  <c r="AF69" i="1"/>
  <c r="AF70" i="1" s="1"/>
  <c r="AF72" i="1"/>
  <c r="AF67" i="1"/>
  <c r="AJ61" i="1"/>
  <c r="AJ65" i="1"/>
  <c r="AI80" i="1"/>
  <c r="AI82" i="1"/>
  <c r="AI62" i="1"/>
  <c r="AI74" i="1"/>
  <c r="AI75" i="1"/>
  <c r="AI73" i="1"/>
  <c r="AI76" i="1"/>
  <c r="AI79" i="1"/>
  <c r="AJ71" i="1"/>
  <c r="AI113" i="1"/>
  <c r="AI125" i="1" s="1"/>
  <c r="AI124" i="1"/>
  <c r="AI107" i="1"/>
  <c r="AI108" i="1"/>
  <c r="AJ112" i="1"/>
  <c r="AJ118" i="1"/>
  <c r="AJ119" i="1" s="1"/>
  <c r="AJ120" i="1"/>
  <c r="AJ121" i="1" s="1"/>
  <c r="AJ116" i="1"/>
  <c r="AJ117" i="1" s="1"/>
  <c r="AJ122" i="1"/>
  <c r="AJ114" i="1"/>
  <c r="AJ115" i="1" s="1"/>
  <c r="AJ92" i="1"/>
  <c r="AK57" i="1"/>
  <c r="AJ58" i="1"/>
  <c r="AJ91" i="1"/>
  <c r="AJ97" i="1"/>
  <c r="AJ93" i="1"/>
  <c r="AJ106" i="1"/>
  <c r="AJ90" i="1"/>
  <c r="AJ98" i="1"/>
  <c r="AJ94" i="1"/>
  <c r="AJ100" i="1"/>
  <c r="AJ105" i="1"/>
  <c r="AJ96" i="1"/>
  <c r="AJ89" i="1"/>
  <c r="AJ99" i="1"/>
  <c r="AJ101" i="1"/>
  <c r="AJ95" i="1"/>
  <c r="AJ104" i="1"/>
  <c r="AJ103" i="1"/>
  <c r="AJ102" i="1"/>
  <c r="AK101" i="1" l="1"/>
  <c r="AK61" i="1"/>
  <c r="AD68" i="1"/>
  <c r="AD59" i="1" s="1"/>
  <c r="AD60" i="1" s="1"/>
  <c r="AE68" i="1"/>
  <c r="AE59" i="1" s="1"/>
  <c r="AE60" i="1" s="1"/>
  <c r="AF68" i="1"/>
  <c r="AF59" i="1" s="1"/>
  <c r="AF60" i="1" s="1"/>
  <c r="AC68" i="1"/>
  <c r="AC59" i="1" s="1"/>
  <c r="AC60" i="1" s="1"/>
  <c r="AJ80" i="1"/>
  <c r="AJ82" i="1"/>
  <c r="AK71" i="1"/>
  <c r="AK65" i="1"/>
  <c r="AJ62" i="1"/>
  <c r="AJ63" i="1"/>
  <c r="AJ75" i="1"/>
  <c r="AJ74" i="1"/>
  <c r="AJ73" i="1"/>
  <c r="AJ76" i="1"/>
  <c r="AJ79" i="1"/>
  <c r="AJ108" i="1"/>
  <c r="AJ124" i="1"/>
  <c r="AJ113" i="1"/>
  <c r="AJ125" i="1" s="1"/>
  <c r="AJ107" i="1"/>
  <c r="AK116" i="1"/>
  <c r="AK117" i="1" s="1"/>
  <c r="AK112" i="1"/>
  <c r="AK118" i="1"/>
  <c r="AK119" i="1" s="1"/>
  <c r="AK114" i="1"/>
  <c r="AK115" i="1" s="1"/>
  <c r="AK120" i="1"/>
  <c r="AK121" i="1" s="1"/>
  <c r="AK122" i="1"/>
  <c r="AK92" i="1"/>
  <c r="AK91" i="1"/>
  <c r="AK102" i="1"/>
  <c r="AK96" i="1"/>
  <c r="AK99" i="1"/>
  <c r="AK90" i="1"/>
  <c r="AK97" i="1"/>
  <c r="AK95" i="1"/>
  <c r="AK103" i="1"/>
  <c r="AK100" i="1"/>
  <c r="AK105" i="1"/>
  <c r="AK98" i="1"/>
  <c r="AK93" i="1"/>
  <c r="AK58" i="1"/>
  <c r="AK89" i="1"/>
  <c r="AK106" i="1"/>
  <c r="AK94" i="1"/>
  <c r="AK104" i="1"/>
  <c r="AG72" i="1" l="1"/>
  <c r="AG66" i="1"/>
  <c r="AG69" i="1"/>
  <c r="AG70" i="1" s="1"/>
  <c r="AG67" i="1"/>
  <c r="AG64" i="1"/>
  <c r="AH66" i="1"/>
  <c r="AH67" i="1"/>
  <c r="AH69" i="1"/>
  <c r="AH70" i="1" s="1"/>
  <c r="AH72" i="1"/>
  <c r="AH64" i="1"/>
  <c r="AK63" i="1"/>
  <c r="AK62" i="1"/>
  <c r="AK80" i="1"/>
  <c r="AK82" i="1"/>
  <c r="AK76" i="1"/>
  <c r="AK73" i="1"/>
  <c r="AK79" i="1"/>
  <c r="AK74" i="1"/>
  <c r="AK75" i="1"/>
  <c r="AK108" i="1"/>
  <c r="AK107" i="1"/>
  <c r="AK113" i="1"/>
  <c r="AK125" i="1" s="1"/>
  <c r="AK124" i="1"/>
  <c r="AG68" i="1" l="1"/>
  <c r="AG59" i="1" s="1"/>
  <c r="AG60" i="1" s="1"/>
  <c r="AH68" i="1"/>
  <c r="AH59" i="1" s="1"/>
  <c r="AH60" i="1" s="1"/>
  <c r="AI66" i="1"/>
  <c r="AI64" i="1"/>
  <c r="AJ64" i="1"/>
  <c r="AJ66" i="1"/>
  <c r="AI72" i="1"/>
  <c r="AI67" i="1"/>
  <c r="AI69" i="1"/>
  <c r="AI70" i="1" s="1"/>
  <c r="AJ67" i="1"/>
  <c r="AJ69" i="1"/>
  <c r="AJ70" i="1" s="1"/>
  <c r="AJ72" i="1"/>
  <c r="AL80" i="1"/>
  <c r="AL72" i="1" s="1"/>
  <c r="AL82" i="1"/>
  <c r="AL67" i="1" s="1"/>
  <c r="AL76" i="1"/>
  <c r="AL73" i="1"/>
  <c r="AL79" i="1"/>
  <c r="AM56" i="1"/>
  <c r="AL75" i="1"/>
  <c r="AL74" i="1"/>
  <c r="AK67" i="1" l="1"/>
  <c r="AK72" i="1"/>
  <c r="AK69" i="1"/>
  <c r="AK70" i="1" s="1"/>
  <c r="AK66" i="1"/>
  <c r="AK64" i="1"/>
  <c r="AL64" i="1"/>
  <c r="AI68" i="1"/>
  <c r="AI59" i="1" s="1"/>
  <c r="AI60" i="1" s="1"/>
  <c r="AJ68" i="1"/>
  <c r="AJ59" i="1" s="1"/>
  <c r="AJ60" i="1" s="1"/>
  <c r="AL69" i="1"/>
  <c r="AL70" i="1" s="1"/>
  <c r="AL68" i="1" s="1"/>
  <c r="AM80" i="1"/>
  <c r="AM79" i="1"/>
  <c r="AM82" i="1"/>
  <c r="AK68" i="1" l="1"/>
  <c r="AK59" i="1" s="1"/>
  <c r="AK60" i="1" s="1"/>
  <c r="AM72" i="1"/>
  <c r="AL66" i="1"/>
  <c r="AL59" i="1" s="1"/>
  <c r="AL60" i="1" s="1"/>
</calcChain>
</file>

<file path=xl/sharedStrings.xml><?xml version="1.0" encoding="utf-8"?>
<sst xmlns="http://schemas.openxmlformats.org/spreadsheetml/2006/main" count="427" uniqueCount="336">
  <si>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</si>
  <si>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</si>
  <si>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</si>
  <si>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</si>
  <si>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</si>
  <si>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</si>
  <si>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</si>
  <si>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</si>
  <si>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</si>
  <si>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</si>
  <si>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</si>
  <si>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</si>
  <si>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</si>
  <si>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</si>
  <si>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</si>
  <si>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</si>
  <si>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</si>
  <si>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</si>
  <si>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</si>
  <si>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</si>
  <si>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</si>
  <si>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</si>
  <si>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</si>
  <si>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</si>
  <si>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</si>
  <si>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</si>
  <si>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</si>
  <si>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</si>
  <si>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</si>
  <si>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</si>
  <si>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</si>
  <si>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</si>
  <si>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</si>
  <si>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</si>
  <si>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</si>
  <si>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</si>
  <si>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</si>
  <si>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</si>
  <si>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</si>
  <si>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</si>
  <si>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</si>
  <si>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</si>
  <si>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</si>
  <si>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</si>
  <si>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</si>
  <si>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</si>
  <si>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</si>
  <si>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</si>
  <si>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</si>
  <si>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</si>
  <si>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</si>
  <si>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</si>
  <si>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</si>
  <si>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</si>
  <si>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</si>
  <si>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</si>
  <si>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</si>
  <si>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</si>
  <si>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</si>
  <si>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</si>
  <si>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</si>
  <si>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</si>
  <si>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</si>
  <si>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</si>
  <si>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</si>
  <si>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</si>
  <si>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</si>
  <si>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</si>
  <si>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</si>
  <si>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</si>
  <si>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</si>
  <si>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</si>
  <si>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</si>
  <si>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</si>
  <si>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</si>
  <si>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</si>
  <si>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</si>
  <si>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</si>
  <si>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</si>
  <si>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</si>
  <si>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</si>
  <si>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</si>
  <si>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</si>
  <si>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</si>
  <si>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</si>
  <si>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</si>
  <si>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</si>
  <si>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</si>
  <si>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</si>
  <si>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</si>
  <si>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</si>
  <si>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</si>
  <si>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</si>
  <si>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</si>
  <si>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</si>
  <si>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</si>
  <si>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</si>
  <si>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</si>
  <si>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</si>
  <si>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</si>
  <si>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</si>
  <si>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</si>
  <si>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</si>
  <si>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</si>
  <si>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</si>
  <si>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</si>
  <si>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</si>
  <si>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</si>
  <si>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</si>
  <si>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</si>
  <si>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</si>
  <si>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</si>
  <si>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</si>
  <si>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</si>
  <si>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</si>
  <si>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</si>
  <si>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</si>
  <si>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</si>
  <si>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</si>
  <si>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</si>
  <si>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</si>
  <si>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</si>
  <si>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</si>
  <si>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</si>
  <si>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</si>
  <si>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</si>
  <si>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</si>
  <si>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</si>
  <si>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</si>
  <si>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</si>
  <si>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</si>
  <si>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</si>
  <si>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</si>
  <si>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</si>
  <si>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</si>
  <si>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</si>
  <si>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</si>
  <si>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</si>
  <si>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</si>
  <si>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</si>
  <si>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</si>
  <si>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</si>
  <si>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</si>
  <si>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</si>
  <si>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</si>
  <si>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</si>
  <si>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</si>
  <si>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</si>
  <si>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</si>
  <si>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</si>
  <si>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</si>
  <si>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</si>
  <si>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</si>
  <si>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</si>
  <si>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</si>
  <si>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</si>
  <si>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</si>
  <si>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</si>
  <si>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</si>
  <si>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</si>
  <si>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</si>
  <si>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</si>
  <si>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</si>
  <si>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</si>
  <si>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</si>
  <si>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</si>
  <si>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</si>
  <si>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</si>
  <si>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</si>
  <si>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</si>
  <si>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</si>
  <si>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</si>
  <si>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</si>
  <si>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</si>
  <si>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</si>
  <si>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</si>
  <si>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</si>
  <si>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</si>
  <si>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</si>
  <si>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</si>
  <si>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</si>
  <si>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</si>
  <si>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</si>
  <si>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</si>
  <si>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</si>
  <si>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</si>
  <si>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</si>
  <si>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</si>
  <si>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</si>
  <si>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</si>
  <si>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</si>
  <si>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</si>
  <si>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</si>
  <si>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</si>
  <si>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</si>
  <si>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</si>
  <si>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</si>
  <si>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</si>
  <si>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</si>
  <si>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</si>
  <si>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</si>
  <si>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</si>
  <si>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</si>
  <si>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</si>
  <si>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</si>
  <si>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</si>
  <si>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</si>
  <si>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</si>
  <si>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</si>
  <si>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</si>
  <si>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</si>
  <si>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</si>
  <si>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</si>
  <si>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</si>
  <si>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</si>
  <si>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</si>
  <si>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</si>
  <si>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</si>
  <si>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</si>
  <si>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</si>
  <si>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</si>
  <si>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</si>
  <si>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</si>
  <si>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</si>
  <si>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</si>
  <si>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</si>
  <si>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</si>
  <si>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</si>
  <si>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</si>
  <si>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</si>
  <si>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</si>
  <si>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</si>
  <si>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</si>
  <si>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</si>
  <si>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</si>
  <si>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</si>
  <si>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</si>
  <si>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</si>
  <si>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</si>
  <si>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</si>
  <si>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</si>
  <si>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</si>
  <si>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</si>
  <si>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</si>
  <si>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</si>
  <si>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</si>
  <si>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</si>
  <si>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</si>
  <si>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</si>
  <si>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</si>
  <si>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</si>
  <si>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</si>
  <si>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</si>
  <si>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</si>
  <si>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</si>
  <si>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</si>
  <si>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</si>
  <si>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</si>
  <si>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</si>
  <si>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</si>
  <si>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</si>
  <si>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</si>
  <si>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</si>
  <si>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</si>
  <si>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</si>
  <si>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</si>
  <si>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</si>
  <si>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</si>
  <si>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</si>
  <si>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</si>
  <si>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</si>
  <si>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</si>
  <si>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</si>
  <si>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</si>
  <si>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</si>
  <si>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</si>
  <si>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</si>
  <si>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</si>
  <si>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</si>
  <si>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</si>
  <si>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</si>
  <si>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</si>
  <si>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</si>
  <si>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</si>
  <si>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</si>
  <si>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</si>
  <si>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</si>
  <si>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</si>
  <si>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</si>
  <si>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</si>
  <si>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</si>
  <si>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</si>
  <si>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</si>
  <si>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</si>
  <si>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</si>
  <si>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</si>
  <si>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</si>
  <si>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</si>
  <si>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</si>
  <si>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</si>
  <si>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</si>
  <si>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</si>
  <si>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</si>
  <si>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</si>
  <si>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</si>
  <si>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</si>
  <si>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</si>
  <si>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</si>
  <si>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</si>
  <si>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</si>
  <si>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</si>
  <si>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</si>
  <si>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</si>
  <si>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</si>
  <si>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</si>
  <si>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</si>
  <si>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</si>
  <si>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</si>
  <si>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</si>
  <si>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</si>
  <si>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</si>
  <si>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</si>
  <si>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</si>
  <si>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Childcare fees return</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</si>
  <si>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</si>
  <si>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</si>
  <si>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</si>
  <si>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</si>
  <si>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</si>
  <si>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</si>
  <si>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</si>
  <si>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</si>
  <si>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</si>
  <si>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</si>
  <si>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Victoria locks down several high rise apartment blocks and a couple more postocdes as new case numbers continue to rise.</t>
  </si>
  <si>
    <t>China's Foreign Ministry has escalated its attacks on Australia, accusing the Federal Government of conducting espionage in China, alleging that Chinese authorities had disrupted an Australian spy operation 2 years 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</si>
</sst>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indexed="64"/>
      </right>
      <top style="thin">
        <color rgb="FFFF0000"/>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14" fontId="9" fillId="0" borderId="0" xfId="0" applyNumberFormat="1" applyFont="1"/>
    <xf numFmtId="0" fontId="9" fillId="0" borderId="0" xfId="0" applyFont="1"/>
    <xf numFmtId="14" fontId="12" fillId="10" borderId="19" xfId="0" applyNumberFormat="1" applyFont="1" applyFill="1" applyBorder="1"/>
    <xf numFmtId="14" fontId="12" fillId="10" borderId="20" xfId="0" applyNumberFormat="1" applyFont="1" applyFill="1" applyBorder="1"/>
    <xf numFmtId="14" fontId="12" fillId="15" borderId="20" xfId="0" applyNumberFormat="1" applyFont="1" applyFill="1" applyBorder="1"/>
    <xf numFmtId="14" fontId="12" fillId="4" borderId="20" xfId="0" applyNumberFormat="1" applyFont="1" applyFill="1" applyBorder="1"/>
    <xf numFmtId="14" fontId="12" fillId="8" borderId="20" xfId="0" applyNumberFormat="1" applyFont="1" applyFill="1" applyBorder="1"/>
    <xf numFmtId="171" fontId="12" fillId="0" borderId="7" xfId="0" applyNumberFormat="1" applyFont="1" applyBorder="1"/>
    <xf numFmtId="14" fontId="9" fillId="8" borderId="14" xfId="0" applyNumberFormat="1" applyFont="1" applyFill="1" applyBorder="1"/>
    <xf numFmtId="14" fontId="12" fillId="0" borderId="21"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71" fontId="11" fillId="0" borderId="2" xfId="0" applyNumberFormat="1" applyFont="1" applyBorder="1"/>
    <xf numFmtId="171" fontId="0" fillId="2" borderId="1" xfId="0" applyNumberFormat="1" applyFill="1" applyBorder="1"/>
    <xf numFmtId="171" fontId="0" fillId="2" borderId="7" xfId="0" applyNumberFormat="1" applyFill="1" applyBorder="1"/>
    <xf numFmtId="171" fontId="0" fillId="2" borderId="2" xfId="0" applyNumberFormat="1" applyFill="1" applyBorder="1"/>
    <xf numFmtId="171" fontId="0" fillId="3" borderId="22" xfId="0" applyNumberFormat="1" applyFill="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12" fillId="0" borderId="0" xfId="0" applyFont="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Projections!$I$57:$AL$57</c15:sqref>
                  </c15:fullRef>
                </c:ext>
              </c:extLst>
              <c:f>Projections!$I$57:$Z$57</c:f>
              <c:numCache>
                <c:formatCode>#,##0_ ;[Red]\-#,##0\ </c:formatCode>
                <c:ptCount val="18"/>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12800</c:v>
                </c:pt>
                <c:pt idx="15">
                  <c:v>17600</c:v>
                </c:pt>
                <c:pt idx="16">
                  <c:v>22400</c:v>
                </c:pt>
                <c:pt idx="17">
                  <c:v>27200</c:v>
                </c:pt>
              </c:numCache>
            </c:numRef>
          </c:val>
          <c:smooth val="0"/>
          <c:extLst>
            <c:ext xmlns:c16="http://schemas.microsoft.com/office/drawing/2014/chart" uri="{C3380CC4-5D6E-409C-BE32-E72D297353CC}">
              <c16:uniqueId val="{00000004-8BCC-427B-903C-670C749E04E9}"/>
            </c:ext>
          </c:extLst>
        </c:ser>
        <c:ser>
          <c:idx val="1"/>
          <c:order val="1"/>
          <c:tx>
            <c:strRef>
              <c:f>Projections!$A$81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Projections!$I$81:$AL$81</c15:sqref>
                  </c15:fullRef>
                </c:ext>
              </c:extLst>
              <c:f>Projections!$I$81:$Z$81</c:f>
              <c:numCache>
                <c:formatCode>General</c:formatCode>
                <c:ptCount val="18"/>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12800</c:v>
                </c:pt>
                <c:pt idx="15" formatCode="#,##0">
                  <c:v>17600</c:v>
                </c:pt>
                <c:pt idx="16" formatCode="#,##0">
                  <c:v>22400</c:v>
                </c:pt>
                <c:pt idx="17" formatCode="#,##0">
                  <c:v>27200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Projections!$I$71:$AL$71</c15:sqref>
                  </c15:fullRef>
                </c:ext>
              </c:extLst>
              <c:f>Projections!$I$71:$Z$71</c:f>
              <c:numCache>
                <c:formatCode>#,##0_ ;[Red]\-#,##0\ </c:formatCode>
                <c:ptCount val="18"/>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pt idx="14">
                  <c:v>179.20000000000002</c:v>
                </c:pt>
                <c:pt idx="15">
                  <c:v>246.4</c:v>
                </c:pt>
                <c:pt idx="16">
                  <c:v>313.60000000000002</c:v>
                </c:pt>
                <c:pt idx="17">
                  <c:v>380.8</c:v>
                </c:pt>
              </c:numCache>
            </c:numRef>
          </c:val>
          <c:smooth val="0"/>
          <c:extLst>
            <c:ext xmlns:c16="http://schemas.microsoft.com/office/drawing/2014/chart" uri="{C3380CC4-5D6E-409C-BE32-E72D297353CC}">
              <c16:uniqueId val="{00000000-50BE-40C1-B679-81AF0BCE3FCD}"/>
            </c:ext>
          </c:extLst>
        </c:ser>
        <c:ser>
          <c:idx val="1"/>
          <c:order val="1"/>
          <c:tx>
            <c:strRef>
              <c:f>Projections!$A$85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Projections!$I$85:$AL$85</c15:sqref>
                  </c15:fullRef>
                </c:ext>
              </c:extLst>
              <c:f>Projections!$I$85:$Z$85</c:f>
              <c:numCache>
                <c:formatCode>General</c:formatCode>
                <c:ptCount val="18"/>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Projections!$A$67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Projections!$I$67:$AL$67</c15:sqref>
                  </c15:fullRef>
                </c:ext>
              </c:extLst>
              <c:f>Projections!$I$67:$Z$67</c:f>
              <c:numCache>
                <c:formatCode>#,##0_ ;[Red]\-#,##0\ </c:formatCode>
                <c:ptCount val="18"/>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585.1670330164543</c:v>
                </c:pt>
                <c:pt idx="9">
                  <c:v>845.76568207433547</c:v>
                </c:pt>
                <c:pt idx="10">
                  <c:v>3789.2176354991007</c:v>
                </c:pt>
                <c:pt idx="11">
                  <c:v>4029.5021076192106</c:v>
                </c:pt>
                <c:pt idx="12">
                  <c:v>635.02911242086657</c:v>
                </c:pt>
                <c:pt idx="13">
                  <c:v>730.98206893792292</c:v>
                </c:pt>
                <c:pt idx="14">
                  <c:v>1040.2174674127123</c:v>
                </c:pt>
                <c:pt idx="15">
                  <c:v>1610.4624167256411</c:v>
                </c:pt>
                <c:pt idx="16">
                  <c:v>2135.3233109561206</c:v>
                </c:pt>
                <c:pt idx="17">
                  <c:v>2627.3081231909455</c:v>
                </c:pt>
              </c:numCache>
            </c:numRef>
          </c:val>
          <c:smooth val="0"/>
          <c:extLst>
            <c:ext xmlns:c16="http://schemas.microsoft.com/office/drawing/2014/chart" uri="{C3380CC4-5D6E-409C-BE32-E72D297353CC}">
              <c16:uniqueId val="{00000000-A3C2-4B4C-996C-CDB1A252886F}"/>
            </c:ext>
          </c:extLst>
        </c:ser>
        <c:ser>
          <c:idx val="2"/>
          <c:order val="1"/>
          <c:tx>
            <c:strRef>
              <c:f>Projections!$A$68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Projections!$I$68:$AL$68</c15:sqref>
                  </c15:fullRef>
                </c:ext>
              </c:extLst>
              <c:f>Projections!$I$68:$Z$68</c:f>
              <c:numCache>
                <c:formatCode>#,##0_ ;[Red]\-#,##0\ </c:formatCode>
                <c:ptCount val="18"/>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499.23662585725168</c:v>
                </c:pt>
                <c:pt idx="9">
                  <c:v>367.95040512239154</c:v>
                </c:pt>
                <c:pt idx="10">
                  <c:v>2824.9896718049117</c:v>
                </c:pt>
                <c:pt idx="11">
                  <c:v>910.74797001823572</c:v>
                </c:pt>
                <c:pt idx="12">
                  <c:v>0</c:v>
                </c:pt>
                <c:pt idx="13">
                  <c:v>0</c:v>
                </c:pt>
                <c:pt idx="14">
                  <c:v>0</c:v>
                </c:pt>
                <c:pt idx="15">
                  <c:v>891.59066744536358</c:v>
                </c:pt>
                <c:pt idx="16">
                  <c:v>1195.6105743596413</c:v>
                </c:pt>
                <c:pt idx="17">
                  <c:v>1283.6497313354585</c:v>
                </c:pt>
              </c:numCache>
            </c:numRef>
          </c:val>
          <c:smooth val="0"/>
          <c:extLst>
            <c:ext xmlns:c16="http://schemas.microsoft.com/office/drawing/2014/chart" uri="{C3380CC4-5D6E-409C-BE32-E72D297353CC}">
              <c16:uniqueId val="{00000001-A3C2-4B4C-996C-CDB1A252886F}"/>
            </c:ext>
          </c:extLst>
        </c:ser>
        <c:ser>
          <c:idx val="0"/>
          <c:order val="2"/>
          <c:tx>
            <c:strRef>
              <c:f>Projections!$A$69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Projections!$I$69:$AL$69</c15:sqref>
                  </c15:fullRef>
                </c:ext>
              </c:extLst>
              <c:f>Projections!$I$69:$Z$69</c:f>
              <c:numCache>
                <c:formatCode>#,##0_ ;[Red]\-#,##0\ </c:formatCode>
                <c:ptCount val="18"/>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87.112146037643384</c:v>
                </c:pt>
                <c:pt idx="9">
                  <c:v>482.70164699170289</c:v>
                </c:pt>
                <c:pt idx="10">
                  <c:v>664.87473183888858</c:v>
                </c:pt>
                <c:pt idx="11">
                  <c:v>913.20194520889606</c:v>
                </c:pt>
                <c:pt idx="12">
                  <c:v>1808.8204125436544</c:v>
                </c:pt>
                <c:pt idx="13">
                  <c:v>2220.4655373983946</c:v>
                </c:pt>
                <c:pt idx="14">
                  <c:v>284.66387583224713</c:v>
                </c:pt>
                <c:pt idx="15">
                  <c:v>449.22615888238221</c:v>
                </c:pt>
                <c:pt idx="16">
                  <c:v>608.39931244651223</c:v>
                </c:pt>
                <c:pt idx="17">
                  <c:v>763.49126397111343</c:v>
                </c:pt>
              </c:numCache>
            </c:numRef>
          </c:val>
          <c:smooth val="0"/>
          <c:extLst>
            <c:ext xmlns:c16="http://schemas.microsoft.com/office/drawing/2014/chart" uri="{C3380CC4-5D6E-409C-BE32-E72D297353CC}">
              <c16:uniqueId val="{00000002-A3C2-4B4C-996C-CDB1A252886F}"/>
            </c:ext>
          </c:extLst>
        </c:ser>
        <c:ser>
          <c:idx val="4"/>
          <c:order val="3"/>
          <c:tx>
            <c:strRef>
              <c:f>Projections!$A$70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Projections!$I$70:$AL$70</c15:sqref>
                  </c15:fullRef>
                </c:ext>
              </c:extLst>
              <c:f>Projections!$I$70:$Z$70</c:f>
              <c:numCache>
                <c:formatCode>#,##0_ ;[Red]\-#,##0\ </c:formatCode>
                <c:ptCount val="18"/>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85.930407159202616</c:v>
                </c:pt>
                <c:pt idx="9">
                  <c:v>473.08664410244978</c:v>
                </c:pt>
                <c:pt idx="10">
                  <c:v>436.18157789175848</c:v>
                </c:pt>
                <c:pt idx="11">
                  <c:v>711.63498485752007</c:v>
                </c:pt>
                <c:pt idx="12">
                  <c:v>1409.5676138710187</c:v>
                </c:pt>
                <c:pt idx="13">
                  <c:v>1730.3521607388693</c:v>
                </c:pt>
                <c:pt idx="14">
                  <c:v>0</c:v>
                </c:pt>
                <c:pt idx="15">
                  <c:v>189.06643817397389</c:v>
                </c:pt>
                <c:pt idx="16">
                  <c:v>195.59336557308427</c:v>
                </c:pt>
                <c:pt idx="17">
                  <c:v>201.018846348382</c:v>
                </c:pt>
              </c:numCache>
            </c:numRef>
          </c:val>
          <c:smooth val="0"/>
          <c:extLst>
            <c:ext xmlns:c16="http://schemas.microsoft.com/office/drawing/2014/chart" uri="{C3380CC4-5D6E-409C-BE32-E72D297353CC}">
              <c16:uniqueId val="{00000003-A3C2-4B4C-996C-CDB1A252886F}"/>
            </c:ext>
          </c:extLst>
        </c:ser>
        <c:ser>
          <c:idx val="1"/>
          <c:order val="4"/>
          <c:tx>
            <c:strRef>
              <c:f>Projections!$A$71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Projections!$I$71:$AL$71</c15:sqref>
                  </c15:fullRef>
                </c:ext>
              </c:extLst>
              <c:f>Projections!$I$71:$Z$71</c:f>
              <c:numCache>
                <c:formatCode>#,##0_ ;[Red]\-#,##0\ </c:formatCode>
                <c:ptCount val="18"/>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pt idx="14">
                  <c:v>179.20000000000002</c:v>
                </c:pt>
                <c:pt idx="15">
                  <c:v>246.4</c:v>
                </c:pt>
                <c:pt idx="16">
                  <c:v>313.60000000000002</c:v>
                </c:pt>
                <c:pt idx="17">
                  <c:v>380.8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Projections!$I$89:$AL$89</c15:sqref>
                  </c15:fullRef>
                </c:ext>
              </c:extLst>
              <c:f>Projections!$I$89:$Z$89</c:f>
              <c:numCache>
                <c:formatCode>#,##0</c:formatCode>
                <c:ptCount val="18"/>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pt idx="14">
                  <c:v>431.66109253065781</c:v>
                </c:pt>
                <c:pt idx="15">
                  <c:v>593.53400222965445</c:v>
                </c:pt>
                <c:pt idx="16">
                  <c:v>755.40691192865108</c:v>
                </c:pt>
                <c:pt idx="17">
                  <c:v>917.27982162764783</c:v>
                </c:pt>
              </c:numCache>
            </c:numRef>
          </c:val>
          <c:smooth val="0"/>
          <c:extLst>
            <c:ext xmlns:c16="http://schemas.microsoft.com/office/drawing/2014/chart" uri="{C3380CC4-5D6E-409C-BE32-E72D297353CC}">
              <c16:uniqueId val="{00000000-7972-43AB-83E8-C2C99B4277B0}"/>
            </c:ext>
          </c:extLst>
        </c:ser>
        <c:ser>
          <c:idx val="2"/>
          <c:order val="1"/>
          <c:tx>
            <c:strRef>
              <c:f>Projections!$A$91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Projections!$I$91:$AL$91</c15:sqref>
                  </c15:fullRef>
                </c:ext>
              </c:extLst>
              <c:f>Projections!$I$91:$Z$91</c:f>
              <c:numCache>
                <c:formatCode>#,##0</c:formatCode>
                <c:ptCount val="18"/>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pt idx="14">
                  <c:v>1346.711259754738</c:v>
                </c:pt>
                <c:pt idx="15">
                  <c:v>1851.7279821627649</c:v>
                </c:pt>
                <c:pt idx="16">
                  <c:v>2356.7447045707918</c:v>
                </c:pt>
                <c:pt idx="17">
                  <c:v>2861.7614269788182</c:v>
                </c:pt>
              </c:numCache>
            </c:numRef>
          </c:val>
          <c:smooth val="0"/>
          <c:extLst>
            <c:ext xmlns:c16="http://schemas.microsoft.com/office/drawing/2014/chart" uri="{C3380CC4-5D6E-409C-BE32-E72D297353CC}">
              <c16:uniqueId val="{00000001-7972-43AB-83E8-C2C99B4277B0}"/>
            </c:ext>
          </c:extLst>
        </c:ser>
        <c:ser>
          <c:idx val="4"/>
          <c:order val="2"/>
          <c:tx>
            <c:strRef>
              <c:f>Projections!$A$93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Projections!$I$93:$AL$93</c15:sqref>
                  </c15:fullRef>
                </c:ext>
              </c:extLst>
              <c:f>Projections!$I$93:$Z$93</c:f>
              <c:numCache>
                <c:formatCode>#,##0</c:formatCode>
                <c:ptCount val="18"/>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pt idx="14">
                  <c:v>2078.0379041248607</c:v>
                </c:pt>
                <c:pt idx="15">
                  <c:v>2857.3021181716836</c:v>
                </c:pt>
                <c:pt idx="16">
                  <c:v>3636.5663322185064</c:v>
                </c:pt>
                <c:pt idx="17">
                  <c:v>4415.8305462653288</c:v>
                </c:pt>
              </c:numCache>
            </c:numRef>
          </c:val>
          <c:smooth val="0"/>
          <c:extLst>
            <c:ext xmlns:c16="http://schemas.microsoft.com/office/drawing/2014/chart" uri="{C3380CC4-5D6E-409C-BE32-E72D297353CC}">
              <c16:uniqueId val="{00000002-7972-43AB-83E8-C2C99B4277B0}"/>
            </c:ext>
          </c:extLst>
        </c:ser>
        <c:ser>
          <c:idx val="6"/>
          <c:order val="3"/>
          <c:tx>
            <c:strRef>
              <c:f>Projections!$A$95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Projections!$I$95:$AL$95</c15:sqref>
                  </c15:fullRef>
                </c:ext>
              </c:extLst>
              <c:f>Projections!$I$95:$Z$95</c:f>
              <c:numCache>
                <c:formatCode>#,##0</c:formatCode>
                <c:ptCount val="18"/>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pt idx="14">
                  <c:v>2019.17502787068</c:v>
                </c:pt>
                <c:pt idx="15">
                  <c:v>2776.3656633221849</c:v>
                </c:pt>
                <c:pt idx="16">
                  <c:v>3533.5562987736898</c:v>
                </c:pt>
                <c:pt idx="17">
                  <c:v>4290.7469342251943</c:v>
                </c:pt>
              </c:numCache>
            </c:numRef>
          </c:val>
          <c:smooth val="0"/>
          <c:extLst>
            <c:ext xmlns:c16="http://schemas.microsoft.com/office/drawing/2014/chart" uri="{C3380CC4-5D6E-409C-BE32-E72D297353CC}">
              <c16:uniqueId val="{00000003-7972-43AB-83E8-C2C99B4277B0}"/>
            </c:ext>
          </c:extLst>
        </c:ser>
        <c:ser>
          <c:idx val="8"/>
          <c:order val="4"/>
          <c:tx>
            <c:strRef>
              <c:f>Projections!$A$97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Projections!$I$97:$AL$97</c15:sqref>
                  </c15:fullRef>
                </c:ext>
              </c:extLst>
              <c:f>Projections!$I$97:$Z$97</c:f>
              <c:numCache>
                <c:formatCode>#,##0</c:formatCode>
                <c:ptCount val="18"/>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pt idx="14">
                  <c:v>1630.3232998885171</c:v>
                </c:pt>
                <c:pt idx="15">
                  <c:v>2241.6945373467111</c:v>
                </c:pt>
                <c:pt idx="16">
                  <c:v>2853.0657748049048</c:v>
                </c:pt>
                <c:pt idx="17">
                  <c:v>3464.4370122630989</c:v>
                </c:pt>
              </c:numCache>
            </c:numRef>
          </c:val>
          <c:smooth val="0"/>
          <c:extLst>
            <c:ext xmlns:c16="http://schemas.microsoft.com/office/drawing/2014/chart" uri="{C3380CC4-5D6E-409C-BE32-E72D297353CC}">
              <c16:uniqueId val="{00000004-7972-43AB-83E8-C2C99B4277B0}"/>
            </c:ext>
          </c:extLst>
        </c:ser>
        <c:ser>
          <c:idx val="10"/>
          <c:order val="5"/>
          <c:tx>
            <c:strRef>
              <c:f>Projections!$A$99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Projections!$I$99:$AL$99</c15:sqref>
                  </c15:fullRef>
                </c:ext>
              </c:extLst>
              <c:f>Projections!$I$99:$Z$99</c:f>
              <c:numCache>
                <c:formatCode>#,##0</c:formatCode>
                <c:ptCount val="18"/>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pt idx="14">
                  <c:v>2035.2285395763654</c:v>
                </c:pt>
                <c:pt idx="15">
                  <c:v>2798.4392419175024</c:v>
                </c:pt>
                <c:pt idx="16">
                  <c:v>3561.6499442586396</c:v>
                </c:pt>
                <c:pt idx="17">
                  <c:v>4324.8606465997764</c:v>
                </c:pt>
              </c:numCache>
            </c:numRef>
          </c:val>
          <c:smooth val="0"/>
          <c:extLst>
            <c:ext xmlns:c16="http://schemas.microsoft.com/office/drawing/2014/chart" uri="{C3380CC4-5D6E-409C-BE32-E72D297353CC}">
              <c16:uniqueId val="{00000005-7972-43AB-83E8-C2C99B4277B0}"/>
            </c:ext>
          </c:extLst>
        </c:ser>
        <c:ser>
          <c:idx val="12"/>
          <c:order val="6"/>
          <c:tx>
            <c:strRef>
              <c:f>Projections!$A$101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Projections!$I$101:$AL$101</c15:sqref>
                  </c15:fullRef>
                </c:ext>
              </c:extLst>
              <c:f>Projections!$I$101:$Z$101</c:f>
              <c:numCache>
                <c:formatCode>#,##0</c:formatCode>
                <c:ptCount val="18"/>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pt idx="14">
                  <c:v>2661.3154960981051</c:v>
                </c:pt>
                <c:pt idx="15">
                  <c:v>3659.3088071348943</c:v>
                </c:pt>
                <c:pt idx="16">
                  <c:v>4657.302118171684</c:v>
                </c:pt>
                <c:pt idx="17">
                  <c:v>5655.2954292084733</c:v>
                </c:pt>
              </c:numCache>
            </c:numRef>
          </c:val>
          <c:smooth val="0"/>
          <c:extLst>
            <c:ext xmlns:c16="http://schemas.microsoft.com/office/drawing/2014/chart" uri="{C3380CC4-5D6E-409C-BE32-E72D297353CC}">
              <c16:uniqueId val="{00000006-7972-43AB-83E8-C2C99B4277B0}"/>
            </c:ext>
          </c:extLst>
        </c:ser>
        <c:ser>
          <c:idx val="14"/>
          <c:order val="7"/>
          <c:tx>
            <c:strRef>
              <c:f>Projections!$A$103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Projections!$I$103:$AL$103</c15:sqref>
                  </c15:fullRef>
                </c:ext>
              </c:extLst>
              <c:f>Projections!$I$103:$Z$103</c:f>
              <c:numCache>
                <c:formatCode>#,##0</c:formatCode>
                <c:ptCount val="18"/>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pt idx="14">
                  <c:v>415.6075808249721</c:v>
                </c:pt>
                <c:pt idx="15">
                  <c:v>571.46042363433662</c:v>
                </c:pt>
                <c:pt idx="16">
                  <c:v>727.3132664437012</c:v>
                </c:pt>
                <c:pt idx="17">
                  <c:v>883.16610925306566</c:v>
                </c:pt>
              </c:numCache>
            </c:numRef>
          </c:val>
          <c:smooth val="0"/>
          <c:extLst>
            <c:ext xmlns:c16="http://schemas.microsoft.com/office/drawing/2014/chart" uri="{C3380CC4-5D6E-409C-BE32-E72D297353CC}">
              <c16:uniqueId val="{00000007-7972-43AB-83E8-C2C99B4277B0}"/>
            </c:ext>
          </c:extLst>
        </c:ser>
        <c:ser>
          <c:idx val="16"/>
          <c:order val="8"/>
          <c:tx>
            <c:strRef>
              <c:f>Projections!$A$105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Projections!$I$105:$AL$105</c15:sqref>
                  </c15:fullRef>
                </c:ext>
              </c:extLst>
              <c:f>Projections!$I$105:$Z$105</c:f>
              <c:numCache>
                <c:formatCode>#,##0</c:formatCode>
                <c:ptCount val="18"/>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pt idx="14">
                  <c:v>181.93979933110367</c:v>
                </c:pt>
                <c:pt idx="15">
                  <c:v>250.16722408026754</c:v>
                </c:pt>
                <c:pt idx="16">
                  <c:v>318.39464882943145</c:v>
                </c:pt>
                <c:pt idx="17">
                  <c:v>386.62207357859529</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Projections!$I$90:$AL$90</c15:sqref>
                  </c15:fullRef>
                </c:ext>
              </c:extLst>
              <c:f>Projections!$I$90:$Z$90</c:f>
              <c:numCache>
                <c:formatCode>#,##0</c:formatCode>
                <c:ptCount val="18"/>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pt idx="14">
                  <c:v>98.10479375696768</c:v>
                </c:pt>
                <c:pt idx="15">
                  <c:v>134.89409141583056</c:v>
                </c:pt>
                <c:pt idx="16">
                  <c:v>171.68338907469342</c:v>
                </c:pt>
                <c:pt idx="17">
                  <c:v>208.47268673355632</c:v>
                </c:pt>
              </c:numCache>
            </c:numRef>
          </c:val>
          <c:smooth val="0"/>
          <c:extLst>
            <c:ext xmlns:c16="http://schemas.microsoft.com/office/drawing/2014/chart" uri="{C3380CC4-5D6E-409C-BE32-E72D297353CC}">
              <c16:uniqueId val="{00000000-FE50-482D-905D-7C3B099138E4}"/>
            </c:ext>
          </c:extLst>
        </c:ser>
        <c:ser>
          <c:idx val="3"/>
          <c:order val="1"/>
          <c:tx>
            <c:strRef>
              <c:f>Projections!$A$91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Projections!$I$92:$AL$92</c15:sqref>
                  </c15:fullRef>
                </c:ext>
              </c:extLst>
              <c:f>Projections!$I$92:$Z$92</c:f>
              <c:numCache>
                <c:formatCode>#,##0</c:formatCode>
                <c:ptCount val="18"/>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pt idx="14">
                  <c:v>60.646599777034552</c:v>
                </c:pt>
                <c:pt idx="15">
                  <c:v>83.389074693422515</c:v>
                </c:pt>
                <c:pt idx="16">
                  <c:v>106.13154960981049</c:v>
                </c:pt>
                <c:pt idx="17">
                  <c:v>128.87402452619844</c:v>
                </c:pt>
              </c:numCache>
            </c:numRef>
          </c:val>
          <c:smooth val="0"/>
          <c:extLst>
            <c:ext xmlns:c16="http://schemas.microsoft.com/office/drawing/2014/chart" uri="{C3380CC4-5D6E-409C-BE32-E72D297353CC}">
              <c16:uniqueId val="{00000001-FE50-482D-905D-7C3B099138E4}"/>
            </c:ext>
          </c:extLst>
        </c:ser>
        <c:ser>
          <c:idx val="5"/>
          <c:order val="2"/>
          <c:tx>
            <c:strRef>
              <c:f>Projections!$A$93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Projections!$I$94:$AL$94</c15:sqref>
                  </c15:fullRef>
                </c:ext>
              </c:extLst>
              <c:f>Projections!$I$94:$Z$94</c:f>
              <c:numCache>
                <c:formatCode>#,##0</c:formatCode>
                <c:ptCount val="18"/>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pt idx="14">
                  <c:v>17.837235228539576</c:v>
                </c:pt>
                <c:pt idx="15">
                  <c:v>24.52619843924192</c:v>
                </c:pt>
                <c:pt idx="16">
                  <c:v>31.21516164994426</c:v>
                </c:pt>
                <c:pt idx="17">
                  <c:v>37.904124860646597</c:v>
                </c:pt>
              </c:numCache>
            </c:numRef>
          </c:val>
          <c:smooth val="0"/>
          <c:extLst>
            <c:ext xmlns:c16="http://schemas.microsoft.com/office/drawing/2014/chart" uri="{C3380CC4-5D6E-409C-BE32-E72D297353CC}">
              <c16:uniqueId val="{00000002-FE50-482D-905D-7C3B099138E4}"/>
            </c:ext>
          </c:extLst>
        </c:ser>
        <c:ser>
          <c:idx val="7"/>
          <c:order val="3"/>
          <c:tx>
            <c:strRef>
              <c:f>Projections!$A$95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Projections!$I$96:$AL$96</c15:sqref>
                  </c15:fullRef>
                </c:ext>
              </c:extLst>
              <c:f>Projections!$I$96:$Z$96</c:f>
              <c:numCache>
                <c:formatCode>#,##0</c:formatCode>
                <c:ptCount val="18"/>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pt idx="14">
                  <c:v>3.5674470457079153</c:v>
                </c:pt>
                <c:pt idx="15">
                  <c:v>4.9052396878483835</c:v>
                </c:pt>
                <c:pt idx="16">
                  <c:v>6.2430323299888508</c:v>
                </c:pt>
                <c:pt idx="17">
                  <c:v>7.5808249721293182</c:v>
                </c:pt>
              </c:numCache>
            </c:numRef>
          </c:val>
          <c:smooth val="0"/>
          <c:extLst>
            <c:ext xmlns:c16="http://schemas.microsoft.com/office/drawing/2014/chart" uri="{C3380CC4-5D6E-409C-BE32-E72D297353CC}">
              <c16:uniqueId val="{00000003-FE50-482D-905D-7C3B099138E4}"/>
            </c:ext>
          </c:extLst>
        </c:ser>
        <c:ser>
          <c:idx val="9"/>
          <c:order val="4"/>
          <c:tx>
            <c:strRef>
              <c:f>Projections!$A$97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Projections!$I$98:$AL$98</c15:sqref>
                  </c15:fullRef>
                </c:ext>
              </c:extLst>
              <c:f>Projections!$I$98:$Z$98</c:f>
              <c:numCache>
                <c:formatCode>#,##0</c:formatCode>
                <c:ptCount val="18"/>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pt idx="14">
                  <c:v>1.7837235228539574</c:v>
                </c:pt>
                <c:pt idx="15">
                  <c:v>2.4526198439241913</c:v>
                </c:pt>
                <c:pt idx="16">
                  <c:v>3.1215161649944254</c:v>
                </c:pt>
                <c:pt idx="17">
                  <c:v>3.7904124860646595</c:v>
                </c:pt>
              </c:numCache>
            </c:numRef>
          </c:val>
          <c:smooth val="0"/>
          <c:extLst>
            <c:ext xmlns:c16="http://schemas.microsoft.com/office/drawing/2014/chart" uri="{C3380CC4-5D6E-409C-BE32-E72D297353CC}">
              <c16:uniqueId val="{00000004-FE50-482D-905D-7C3B099138E4}"/>
            </c:ext>
          </c:extLst>
        </c:ser>
        <c:ser>
          <c:idx val="11"/>
          <c:order val="5"/>
          <c:tx>
            <c:strRef>
              <c:f>Projections!$A$99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Projections!$I$100:$AL$100</c15:sqref>
                  </c15:fullRef>
                </c:ext>
              </c:extLst>
              <c:f>Projections!$I$100:$Z$100</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5-FE50-482D-905D-7C3B099138E4}"/>
            </c:ext>
          </c:extLst>
        </c:ser>
        <c:ser>
          <c:idx val="13"/>
          <c:order val="6"/>
          <c:tx>
            <c:strRef>
              <c:f>Projections!$A$101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Projections!$I$102:$AL$102</c15:sqref>
                  </c15:fullRef>
                </c:ext>
              </c:extLst>
              <c:f>Projections!$I$102:$Z$102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6-FE50-482D-905D-7C3B099138E4}"/>
            </c:ext>
          </c:extLst>
        </c:ser>
        <c:ser>
          <c:idx val="15"/>
          <c:order val="7"/>
          <c:tx>
            <c:strRef>
              <c:f>Projections!$A$103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Projections!$I$104:$AL$104</c15:sqref>
                  </c15:fullRef>
                </c:ext>
              </c:extLst>
              <c:f>Projections!$I$104:$Z$104</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7-FE50-482D-905D-7C3B099138E4}"/>
            </c:ext>
          </c:extLst>
        </c:ser>
        <c:ser>
          <c:idx val="17"/>
          <c:order val="8"/>
          <c:tx>
            <c:strRef>
              <c:f>Projections!$A$105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Projections!$I$106:$AL$106</c15:sqref>
                  </c15:fullRef>
                </c:ext>
              </c:extLst>
              <c:f>Projections!$I$106:$Z$106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Projections!$I$118:$AL$118</c15:sqref>
                  </c15:fullRef>
                </c:ext>
              </c:extLst>
              <c:f>Projections!$I$118:$Z$118</c:f>
              <c:numCache>
                <c:formatCode>#,##0</c:formatCode>
                <c:ptCount val="18"/>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1356.8</c:v>
                </c:pt>
                <c:pt idx="15">
                  <c:v>1865.6</c:v>
                </c:pt>
                <c:pt idx="16">
                  <c:v>2374.4</c:v>
                </c:pt>
                <c:pt idx="17">
                  <c:v>2883.2</c:v>
                </c:pt>
              </c:numCache>
            </c:numRef>
          </c:val>
          <c:smooth val="0"/>
          <c:extLst>
            <c:ext xmlns:c16="http://schemas.microsoft.com/office/drawing/2014/chart" uri="{C3380CC4-5D6E-409C-BE32-E72D297353CC}">
              <c16:uniqueId val="{00000000-C5BA-4495-93D4-AC4CA8674604}"/>
            </c:ext>
          </c:extLst>
        </c:ser>
        <c:ser>
          <c:idx val="4"/>
          <c:order val="1"/>
          <c:tx>
            <c:strRef>
              <c:f>Projections!$A$116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Projections!$I$116:$AL$116</c15:sqref>
                  </c15:fullRef>
                </c:ext>
              </c:extLst>
              <c:f>Projections!$I$116:$Z$116</c:f>
              <c:numCache>
                <c:formatCode>#,##0</c:formatCode>
                <c:ptCount val="18"/>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3968</c:v>
                </c:pt>
                <c:pt idx="15">
                  <c:v>5456</c:v>
                </c:pt>
                <c:pt idx="16">
                  <c:v>6944</c:v>
                </c:pt>
                <c:pt idx="17">
                  <c:v>8432</c:v>
                </c:pt>
              </c:numCache>
            </c:numRef>
          </c:val>
          <c:smooth val="0"/>
          <c:extLst>
            <c:ext xmlns:c16="http://schemas.microsoft.com/office/drawing/2014/chart" uri="{C3380CC4-5D6E-409C-BE32-E72D297353CC}">
              <c16:uniqueId val="{00000001-C5BA-4495-93D4-AC4CA8674604}"/>
            </c:ext>
          </c:extLst>
        </c:ser>
        <c:ser>
          <c:idx val="10"/>
          <c:order val="2"/>
          <c:tx>
            <c:strRef>
              <c:f>Projections!$A$122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Projections!$I$122:$AL$122</c15:sqref>
                  </c15:fullRef>
                </c:ext>
              </c:extLst>
              <c:f>Projections!$I$122:$Z$122</c:f>
              <c:numCache>
                <c:formatCode>#,##0</c:formatCode>
                <c:ptCount val="18"/>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1945.6</c:v>
                </c:pt>
                <c:pt idx="15">
                  <c:v>2675.2</c:v>
                </c:pt>
                <c:pt idx="16">
                  <c:v>3404.7999999999997</c:v>
                </c:pt>
                <c:pt idx="17">
                  <c:v>4134.3999999999996</c:v>
                </c:pt>
              </c:numCache>
            </c:numRef>
          </c:val>
          <c:smooth val="0"/>
          <c:extLst>
            <c:ext xmlns:c16="http://schemas.microsoft.com/office/drawing/2014/chart" uri="{C3380CC4-5D6E-409C-BE32-E72D297353CC}">
              <c16:uniqueId val="{00000002-C5BA-4495-93D4-AC4CA8674604}"/>
            </c:ext>
          </c:extLst>
        </c:ser>
        <c:ser>
          <c:idx val="0"/>
          <c:order val="3"/>
          <c:tx>
            <c:strRef>
              <c:f>Projections!$A$112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Projections!$I$112:$AL$112</c15:sqref>
                  </c15:fullRef>
                </c:ext>
              </c:extLst>
              <c:f>Projections!$I$112:$Z$112</c:f>
              <c:numCache>
                <c:formatCode>#,##0</c:formatCode>
                <c:ptCount val="18"/>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640</c:v>
                </c:pt>
                <c:pt idx="15">
                  <c:v>880</c:v>
                </c:pt>
                <c:pt idx="16">
                  <c:v>1120</c:v>
                </c:pt>
                <c:pt idx="17">
                  <c:v>1360</c:v>
                </c:pt>
              </c:numCache>
            </c:numRef>
          </c:val>
          <c:smooth val="0"/>
          <c:extLst>
            <c:ext xmlns:c16="http://schemas.microsoft.com/office/drawing/2014/chart" uri="{C3380CC4-5D6E-409C-BE32-E72D297353CC}">
              <c16:uniqueId val="{00000003-C5BA-4495-93D4-AC4CA8674604}"/>
            </c:ext>
          </c:extLst>
        </c:ser>
        <c:ser>
          <c:idx val="2"/>
          <c:order val="4"/>
          <c:tx>
            <c:strRef>
              <c:f>Projections!$A$114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Projections!$I$114:$AL$114</c15:sqref>
                  </c15:fullRef>
                </c:ext>
              </c:extLst>
              <c:f>Projections!$I$114:$Z$114</c:f>
              <c:numCache>
                <c:formatCode>#,##0</c:formatCode>
                <c:ptCount val="18"/>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627.20000000000005</c:v>
                </c:pt>
                <c:pt idx="15">
                  <c:v>862.4</c:v>
                </c:pt>
                <c:pt idx="16">
                  <c:v>1097.6000000000001</c:v>
                </c:pt>
                <c:pt idx="17">
                  <c:v>1332.8</c:v>
                </c:pt>
              </c:numCache>
            </c:numRef>
          </c:val>
          <c:smooth val="0"/>
          <c:extLst>
            <c:ext xmlns:c16="http://schemas.microsoft.com/office/drawing/2014/chart" uri="{C3380CC4-5D6E-409C-BE32-E72D297353CC}">
              <c16:uniqueId val="{00000004-C5BA-4495-93D4-AC4CA8674604}"/>
            </c:ext>
          </c:extLst>
        </c:ser>
        <c:ser>
          <c:idx val="8"/>
          <c:order val="5"/>
          <c:tx>
            <c:strRef>
              <c:f>Projections!$A$120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Projections!$I$120:$AL$120</c15:sqref>
                  </c15:fullRef>
                </c:ext>
              </c:extLst>
              <c:f>Projections!$I$120:$Z$120</c:f>
              <c:numCache>
                <c:formatCode>#,##0</c:formatCode>
                <c:ptCount val="18"/>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230.39999999999998</c:v>
                </c:pt>
                <c:pt idx="15">
                  <c:v>316.79999999999995</c:v>
                </c:pt>
                <c:pt idx="16">
                  <c:v>403.2</c:v>
                </c:pt>
                <c:pt idx="17">
                  <c:v>489.59999999999997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Projections!$I$119:$AL$119</c15:sqref>
                  </c15:fullRef>
                </c:ext>
              </c:extLst>
              <c:f>Projections!$I$119:$Z$119</c:f>
              <c:numCache>
                <c:formatCode>#,##0</c:formatCode>
                <c:ptCount val="18"/>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81.408000000000001</c:v>
                </c:pt>
                <c:pt idx="15">
                  <c:v>111.93599999999999</c:v>
                </c:pt>
                <c:pt idx="16">
                  <c:v>142.464</c:v>
                </c:pt>
                <c:pt idx="17">
                  <c:v>172.99199999999999</c:v>
                </c:pt>
              </c:numCache>
            </c:numRef>
          </c:val>
          <c:smooth val="0"/>
          <c:extLst>
            <c:ext xmlns:c16="http://schemas.microsoft.com/office/drawing/2014/chart" uri="{C3380CC4-5D6E-409C-BE32-E72D297353CC}">
              <c16:uniqueId val="{00000000-5E66-4AF0-A3CA-7CF12153AA8E}"/>
            </c:ext>
          </c:extLst>
        </c:ser>
        <c:ser>
          <c:idx val="5"/>
          <c:order val="1"/>
          <c:tx>
            <c:strRef>
              <c:f>Projections!$A$116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Projections!$I$117:$AL$117</c15:sqref>
                  </c15:fullRef>
                </c:ext>
              </c:extLst>
              <c:f>Projections!$I$117:$Z$117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249.98400000000001</c:v>
                </c:pt>
                <c:pt idx="15">
                  <c:v>343.72800000000001</c:v>
                </c:pt>
                <c:pt idx="16">
                  <c:v>437.47199999999998</c:v>
                </c:pt>
                <c:pt idx="17">
                  <c:v>531.21600000000001</c:v>
                </c:pt>
              </c:numCache>
            </c:numRef>
          </c:val>
          <c:smooth val="0"/>
          <c:extLst>
            <c:ext xmlns:c16="http://schemas.microsoft.com/office/drawing/2014/chart" uri="{C3380CC4-5D6E-409C-BE32-E72D297353CC}">
              <c16:uniqueId val="{00000001-5E66-4AF0-A3CA-7CF12153AA8E}"/>
            </c:ext>
          </c:extLst>
        </c:ser>
        <c:ser>
          <c:idx val="1"/>
          <c:order val="2"/>
          <c:tx>
            <c:strRef>
              <c:f>Projections!$A$112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Projections!$I$113:$AL$113</c15:sqref>
                  </c15:fullRef>
                </c:ext>
              </c:extLst>
              <c:f>Projections!$I$113:$Z$113</c:f>
              <c:numCache>
                <c:formatCode>#,##0</c:formatCode>
                <c:ptCount val="18"/>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67.2</c:v>
                </c:pt>
                <c:pt idx="15">
                  <c:v>92.399999999999991</c:v>
                </c:pt>
                <c:pt idx="16">
                  <c:v>117.6</c:v>
                </c:pt>
                <c:pt idx="17">
                  <c:v>142.79999999999998</c:v>
                </c:pt>
              </c:numCache>
            </c:numRef>
          </c:val>
          <c:smooth val="0"/>
          <c:extLst>
            <c:ext xmlns:c16="http://schemas.microsoft.com/office/drawing/2014/chart" uri="{C3380CC4-5D6E-409C-BE32-E72D297353CC}">
              <c16:uniqueId val="{00000002-5E66-4AF0-A3CA-7CF12153AA8E}"/>
            </c:ext>
          </c:extLst>
        </c:ser>
        <c:ser>
          <c:idx val="3"/>
          <c:order val="3"/>
          <c:tx>
            <c:strRef>
              <c:f>Projections!$A$114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Projections!$I$115:$AL$115</c15:sqref>
                  </c15:fullRef>
                </c:ext>
              </c:extLst>
              <c:f>Projections!$I$115:$Z$115</c:f>
              <c:numCache>
                <c:formatCode>#,##0</c:formatCode>
                <c:ptCount val="18"/>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45.785600000000002</c:v>
                </c:pt>
                <c:pt idx="15">
                  <c:v>62.955199999999998</c:v>
                </c:pt>
                <c:pt idx="16">
                  <c:v>80.124800000000008</c:v>
                </c:pt>
                <c:pt idx="17">
                  <c:v>97.294399999999996</c:v>
                </c:pt>
              </c:numCache>
            </c:numRef>
          </c:val>
          <c:smooth val="0"/>
          <c:extLst>
            <c:ext xmlns:c16="http://schemas.microsoft.com/office/drawing/2014/chart" uri="{C3380CC4-5D6E-409C-BE32-E72D297353CC}">
              <c16:uniqueId val="{00000003-5E66-4AF0-A3CA-7CF12153AA8E}"/>
            </c:ext>
          </c:extLst>
        </c:ser>
        <c:ser>
          <c:idx val="9"/>
          <c:order val="4"/>
          <c:tx>
            <c:strRef>
              <c:f>Projections!$A$120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Projections!$I$121:$AL$121</c15:sqref>
                  </c15:fullRef>
                </c:ext>
              </c:extLst>
              <c:f>Projections!$I$121:$Z$121</c:f>
              <c:numCache>
                <c:formatCode>#,##0</c:formatCode>
                <c:ptCount val="18"/>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12.902399999999998</c:v>
                </c:pt>
                <c:pt idx="15">
                  <c:v>17.740799999999997</c:v>
                </c:pt>
                <c:pt idx="16">
                  <c:v>22.5792</c:v>
                </c:pt>
                <c:pt idx="17">
                  <c:v>27.4176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Projections!$I$57:$AL$57</c15:sqref>
                  </c15:fullRef>
                </c:ext>
              </c:extLst>
              <c:f>Projections!$I$57:$Z$57</c:f>
              <c:numCache>
                <c:formatCode>#,##0_ ;[Red]\-#,##0\ </c:formatCode>
                <c:ptCount val="18"/>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12800</c:v>
                </c:pt>
                <c:pt idx="15">
                  <c:v>17600</c:v>
                </c:pt>
                <c:pt idx="16">
                  <c:v>22400</c:v>
                </c:pt>
                <c:pt idx="17">
                  <c:v>27200</c:v>
                </c:pt>
              </c:numCache>
            </c:numRef>
          </c:val>
          <c:smooth val="0"/>
          <c:extLst>
            <c:ext xmlns:c16="http://schemas.microsoft.com/office/drawing/2014/chart" uri="{C3380CC4-5D6E-409C-BE32-E72D297353CC}">
              <c16:uniqueId val="{00000000-9DE3-43B6-B60B-9B4AA4851702}"/>
            </c:ext>
          </c:extLst>
        </c:ser>
        <c:ser>
          <c:idx val="1"/>
          <c:order val="1"/>
          <c:tx>
            <c:strRef>
              <c:f>Projections!$A$81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Projections!$I$81:$AL$81</c15:sqref>
                  </c15:fullRef>
                </c:ext>
              </c:extLst>
              <c:f>Projections!$I$81:$Z$81</c:f>
              <c:numCache>
                <c:formatCode>General</c:formatCode>
                <c:ptCount val="18"/>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12800</c:v>
                </c:pt>
                <c:pt idx="15" formatCode="#,##0">
                  <c:v>17600</c:v>
                </c:pt>
                <c:pt idx="16" formatCode="#,##0">
                  <c:v>22400</c:v>
                </c:pt>
                <c:pt idx="17" formatCode="#,##0">
                  <c:v>27200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Projections!$I$71:$AL$71</c15:sqref>
                  </c15:fullRef>
                </c:ext>
              </c:extLst>
              <c:f>Projections!$I$71:$Z$71</c:f>
              <c:numCache>
                <c:formatCode>#,##0_ ;[Red]\-#,##0\ </c:formatCode>
                <c:ptCount val="18"/>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pt idx="14">
                  <c:v>179.20000000000002</c:v>
                </c:pt>
                <c:pt idx="15">
                  <c:v>246.4</c:v>
                </c:pt>
                <c:pt idx="16">
                  <c:v>313.60000000000002</c:v>
                </c:pt>
                <c:pt idx="17">
                  <c:v>380.8</c:v>
                </c:pt>
              </c:numCache>
            </c:numRef>
          </c:val>
          <c:smooth val="0"/>
          <c:extLst>
            <c:ext xmlns:c16="http://schemas.microsoft.com/office/drawing/2014/chart" uri="{C3380CC4-5D6E-409C-BE32-E72D297353CC}">
              <c16:uniqueId val="{00000000-FE1B-4946-A476-7952C5C71231}"/>
            </c:ext>
          </c:extLst>
        </c:ser>
        <c:ser>
          <c:idx val="1"/>
          <c:order val="1"/>
          <c:tx>
            <c:strRef>
              <c:f>Projections!$A$85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Projections!$I$85:$AL$85</c15:sqref>
                  </c15:fullRef>
                </c:ext>
              </c:extLst>
              <c:f>Projections!$I$85:$Z$85</c:f>
              <c:numCache>
                <c:formatCode>General</c:formatCode>
                <c:ptCount val="18"/>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43976.838102893518</c:v>
                </c:pt>
                <c:pt idx="1">
                  <c:v>43979.838102893518</c:v>
                </c:pt>
                <c:pt idx="2">
                  <c:v>43982.838102893518</c:v>
                </c:pt>
                <c:pt idx="3">
                  <c:v>43985.838102893518</c:v>
                </c:pt>
                <c:pt idx="4">
                  <c:v>43988.838102893518</c:v>
                </c:pt>
                <c:pt idx="5">
                  <c:v>43991.838102893518</c:v>
                </c:pt>
                <c:pt idx="6">
                  <c:v>43994.838102893518</c:v>
                </c:pt>
                <c:pt idx="7">
                  <c:v>43997.838102893518</c:v>
                </c:pt>
                <c:pt idx="8">
                  <c:v>44000.838102893518</c:v>
                </c:pt>
                <c:pt idx="9">
                  <c:v>44003.838102893518</c:v>
                </c:pt>
                <c:pt idx="10">
                  <c:v>44006.838102893518</c:v>
                </c:pt>
                <c:pt idx="11">
                  <c:v>44009.838102893518</c:v>
                </c:pt>
                <c:pt idx="12">
                  <c:v>44012.838102893518</c:v>
                </c:pt>
                <c:pt idx="13">
                  <c:v>44015.838102893518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Projections!$A$67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Projections!$I$67:$AL$67</c15:sqref>
                  </c15:fullRef>
                </c:ext>
              </c:extLst>
              <c:f>Projections!$I$67:$Z$67</c:f>
              <c:numCache>
                <c:formatCode>#,##0_ ;[Red]\-#,##0\ </c:formatCode>
                <c:ptCount val="18"/>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585.1670330164543</c:v>
                </c:pt>
                <c:pt idx="9">
                  <c:v>845.76568207433547</c:v>
                </c:pt>
                <c:pt idx="10">
                  <c:v>3789.2176354991007</c:v>
                </c:pt>
                <c:pt idx="11">
                  <c:v>4029.5021076192106</c:v>
                </c:pt>
                <c:pt idx="12">
                  <c:v>635.02911242086657</c:v>
                </c:pt>
                <c:pt idx="13">
                  <c:v>730.98206893792292</c:v>
                </c:pt>
                <c:pt idx="14">
                  <c:v>1040.2174674127123</c:v>
                </c:pt>
                <c:pt idx="15">
                  <c:v>1610.4624167256411</c:v>
                </c:pt>
                <c:pt idx="16">
                  <c:v>2135.3233109561206</c:v>
                </c:pt>
                <c:pt idx="17">
                  <c:v>2627.3081231909455</c:v>
                </c:pt>
              </c:numCache>
            </c:numRef>
          </c:val>
          <c:smooth val="0"/>
          <c:extLst>
            <c:ext xmlns:c16="http://schemas.microsoft.com/office/drawing/2014/chart" uri="{C3380CC4-5D6E-409C-BE32-E72D297353CC}">
              <c16:uniqueId val="{00000003-5231-4BE2-97ED-54F0C3DB105C}"/>
            </c:ext>
          </c:extLst>
        </c:ser>
        <c:ser>
          <c:idx val="2"/>
          <c:order val="1"/>
          <c:tx>
            <c:strRef>
              <c:f>Projections!$A$68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Projections!$I$68:$AL$68</c15:sqref>
                  </c15:fullRef>
                </c:ext>
              </c:extLst>
              <c:f>Projections!$I$68:$Z$68</c:f>
              <c:numCache>
                <c:formatCode>#,##0_ ;[Red]\-#,##0\ </c:formatCode>
                <c:ptCount val="18"/>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499.23662585725168</c:v>
                </c:pt>
                <c:pt idx="9">
                  <c:v>367.95040512239154</c:v>
                </c:pt>
                <c:pt idx="10">
                  <c:v>2824.9896718049117</c:v>
                </c:pt>
                <c:pt idx="11">
                  <c:v>910.74797001823572</c:v>
                </c:pt>
                <c:pt idx="12">
                  <c:v>0</c:v>
                </c:pt>
                <c:pt idx="13">
                  <c:v>0</c:v>
                </c:pt>
                <c:pt idx="14">
                  <c:v>0</c:v>
                </c:pt>
                <c:pt idx="15">
                  <c:v>891.59066744536358</c:v>
                </c:pt>
                <c:pt idx="16">
                  <c:v>1195.6105743596413</c:v>
                </c:pt>
                <c:pt idx="17">
                  <c:v>1283.6497313354585</c:v>
                </c:pt>
              </c:numCache>
            </c:numRef>
          </c:val>
          <c:smooth val="0"/>
          <c:extLst>
            <c:ext xmlns:c16="http://schemas.microsoft.com/office/drawing/2014/chart" uri="{C3380CC4-5D6E-409C-BE32-E72D297353CC}">
              <c16:uniqueId val="{00000002-9381-4A4E-BB43-DCD8EC2F4E00}"/>
            </c:ext>
          </c:extLst>
        </c:ser>
        <c:ser>
          <c:idx val="0"/>
          <c:order val="2"/>
          <c:tx>
            <c:strRef>
              <c:f>Projections!$A$69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Projections!$I$69:$AL$69</c15:sqref>
                  </c15:fullRef>
                </c:ext>
              </c:extLst>
              <c:f>Projections!$I$69:$Z$69</c:f>
              <c:numCache>
                <c:formatCode>#,##0_ ;[Red]\-#,##0\ </c:formatCode>
                <c:ptCount val="18"/>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87.112146037643384</c:v>
                </c:pt>
                <c:pt idx="9">
                  <c:v>482.70164699170289</c:v>
                </c:pt>
                <c:pt idx="10">
                  <c:v>664.87473183888858</c:v>
                </c:pt>
                <c:pt idx="11">
                  <c:v>913.20194520889606</c:v>
                </c:pt>
                <c:pt idx="12">
                  <c:v>1808.8204125436544</c:v>
                </c:pt>
                <c:pt idx="13">
                  <c:v>2220.4655373983946</c:v>
                </c:pt>
                <c:pt idx="14">
                  <c:v>284.66387583224713</c:v>
                </c:pt>
                <c:pt idx="15">
                  <c:v>449.22615888238221</c:v>
                </c:pt>
                <c:pt idx="16">
                  <c:v>608.39931244651223</c:v>
                </c:pt>
                <c:pt idx="17">
                  <c:v>763.49126397111343</c:v>
                </c:pt>
              </c:numCache>
            </c:numRef>
          </c:val>
          <c:smooth val="0"/>
          <c:extLst>
            <c:ext xmlns:c16="http://schemas.microsoft.com/office/drawing/2014/chart" uri="{C3380CC4-5D6E-409C-BE32-E72D297353CC}">
              <c16:uniqueId val="{00000000-9381-4A4E-BB43-DCD8EC2F4E00}"/>
            </c:ext>
          </c:extLst>
        </c:ser>
        <c:ser>
          <c:idx val="4"/>
          <c:order val="3"/>
          <c:tx>
            <c:strRef>
              <c:f>Projections!$A$70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Projections!$I$70:$AL$70</c15:sqref>
                  </c15:fullRef>
                </c:ext>
              </c:extLst>
              <c:f>Projections!$I$70:$Z$70</c:f>
              <c:numCache>
                <c:formatCode>#,##0_ ;[Red]\-#,##0\ </c:formatCode>
                <c:ptCount val="18"/>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85.930407159202616</c:v>
                </c:pt>
                <c:pt idx="9">
                  <c:v>473.08664410244978</c:v>
                </c:pt>
                <c:pt idx="10">
                  <c:v>436.18157789175848</c:v>
                </c:pt>
                <c:pt idx="11">
                  <c:v>711.63498485752007</c:v>
                </c:pt>
                <c:pt idx="12">
                  <c:v>1409.5676138710187</c:v>
                </c:pt>
                <c:pt idx="13">
                  <c:v>1730.3521607388693</c:v>
                </c:pt>
                <c:pt idx="14">
                  <c:v>0</c:v>
                </c:pt>
                <c:pt idx="15">
                  <c:v>189.06643817397389</c:v>
                </c:pt>
                <c:pt idx="16">
                  <c:v>195.59336557308427</c:v>
                </c:pt>
                <c:pt idx="17">
                  <c:v>201.018846348382</c:v>
                </c:pt>
              </c:numCache>
            </c:numRef>
          </c:val>
          <c:smooth val="0"/>
          <c:extLst>
            <c:ext xmlns:c16="http://schemas.microsoft.com/office/drawing/2014/chart" uri="{C3380CC4-5D6E-409C-BE32-E72D297353CC}">
              <c16:uniqueId val="{00000003-9381-4A4E-BB43-DCD8EC2F4E00}"/>
            </c:ext>
          </c:extLst>
        </c:ser>
        <c:ser>
          <c:idx val="1"/>
          <c:order val="4"/>
          <c:tx>
            <c:strRef>
              <c:f>Projections!$A$71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Projections!$I$71:$AL$71</c15:sqref>
                  </c15:fullRef>
                </c:ext>
              </c:extLst>
              <c:f>Projections!$I$71:$Z$71</c:f>
              <c:numCache>
                <c:formatCode>#,##0_ ;[Red]\-#,##0\ </c:formatCode>
                <c:ptCount val="18"/>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pt idx="14">
                  <c:v>179.20000000000002</c:v>
                </c:pt>
                <c:pt idx="15">
                  <c:v>246.4</c:v>
                </c:pt>
                <c:pt idx="16">
                  <c:v>313.60000000000002</c:v>
                </c:pt>
                <c:pt idx="17">
                  <c:v>380.8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Projections!$I$89:$AL$89</c15:sqref>
                  </c15:fullRef>
                </c:ext>
              </c:extLst>
              <c:f>Projections!$I$89:$Z$89</c:f>
              <c:numCache>
                <c:formatCode>#,##0</c:formatCode>
                <c:ptCount val="18"/>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pt idx="14">
                  <c:v>431.66109253065781</c:v>
                </c:pt>
                <c:pt idx="15">
                  <c:v>593.53400222965445</c:v>
                </c:pt>
                <c:pt idx="16">
                  <c:v>755.40691192865108</c:v>
                </c:pt>
                <c:pt idx="17">
                  <c:v>917.27982162764783</c:v>
                </c:pt>
              </c:numCache>
            </c:numRef>
          </c:val>
          <c:smooth val="0"/>
          <c:extLst>
            <c:ext xmlns:c16="http://schemas.microsoft.com/office/drawing/2014/chart" uri="{C3380CC4-5D6E-409C-BE32-E72D297353CC}">
              <c16:uniqueId val="{00000000-04B6-450D-AD81-6BF382C059D1}"/>
            </c:ext>
          </c:extLst>
        </c:ser>
        <c:ser>
          <c:idx val="2"/>
          <c:order val="1"/>
          <c:tx>
            <c:strRef>
              <c:f>Projections!$A$91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Projections!$I$91:$AL$91</c15:sqref>
                  </c15:fullRef>
                </c:ext>
              </c:extLst>
              <c:f>Projections!$I$91:$Z$91</c:f>
              <c:numCache>
                <c:formatCode>#,##0</c:formatCode>
                <c:ptCount val="18"/>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pt idx="14">
                  <c:v>1346.711259754738</c:v>
                </c:pt>
                <c:pt idx="15">
                  <c:v>1851.7279821627649</c:v>
                </c:pt>
                <c:pt idx="16">
                  <c:v>2356.7447045707918</c:v>
                </c:pt>
                <c:pt idx="17">
                  <c:v>2861.7614269788182</c:v>
                </c:pt>
              </c:numCache>
            </c:numRef>
          </c:val>
          <c:smooth val="0"/>
          <c:extLst>
            <c:ext xmlns:c16="http://schemas.microsoft.com/office/drawing/2014/chart" uri="{C3380CC4-5D6E-409C-BE32-E72D297353CC}">
              <c16:uniqueId val="{00000002-04B6-450D-AD81-6BF382C059D1}"/>
            </c:ext>
          </c:extLst>
        </c:ser>
        <c:ser>
          <c:idx val="4"/>
          <c:order val="2"/>
          <c:tx>
            <c:strRef>
              <c:f>Projections!$A$93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Projections!$I$93:$AL$93</c15:sqref>
                  </c15:fullRef>
                </c:ext>
              </c:extLst>
              <c:f>Projections!$I$93:$Z$93</c:f>
              <c:numCache>
                <c:formatCode>#,##0</c:formatCode>
                <c:ptCount val="18"/>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pt idx="14">
                  <c:v>2078.0379041248607</c:v>
                </c:pt>
                <c:pt idx="15">
                  <c:v>2857.3021181716836</c:v>
                </c:pt>
                <c:pt idx="16">
                  <c:v>3636.5663322185064</c:v>
                </c:pt>
                <c:pt idx="17">
                  <c:v>4415.8305462653288</c:v>
                </c:pt>
              </c:numCache>
            </c:numRef>
          </c:val>
          <c:smooth val="0"/>
          <c:extLst>
            <c:ext xmlns:c16="http://schemas.microsoft.com/office/drawing/2014/chart" uri="{C3380CC4-5D6E-409C-BE32-E72D297353CC}">
              <c16:uniqueId val="{00000004-04B6-450D-AD81-6BF382C059D1}"/>
            </c:ext>
          </c:extLst>
        </c:ser>
        <c:ser>
          <c:idx val="6"/>
          <c:order val="3"/>
          <c:tx>
            <c:strRef>
              <c:f>Projections!$A$95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Projections!$I$95:$AL$95</c15:sqref>
                  </c15:fullRef>
                </c:ext>
              </c:extLst>
              <c:f>Projections!$I$95:$Z$95</c:f>
              <c:numCache>
                <c:formatCode>#,##0</c:formatCode>
                <c:ptCount val="18"/>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pt idx="14">
                  <c:v>2019.17502787068</c:v>
                </c:pt>
                <c:pt idx="15">
                  <c:v>2776.3656633221849</c:v>
                </c:pt>
                <c:pt idx="16">
                  <c:v>3533.5562987736898</c:v>
                </c:pt>
                <c:pt idx="17">
                  <c:v>4290.7469342251943</c:v>
                </c:pt>
              </c:numCache>
            </c:numRef>
          </c:val>
          <c:smooth val="0"/>
          <c:extLst>
            <c:ext xmlns:c16="http://schemas.microsoft.com/office/drawing/2014/chart" uri="{C3380CC4-5D6E-409C-BE32-E72D297353CC}">
              <c16:uniqueId val="{00000006-04B6-450D-AD81-6BF382C059D1}"/>
            </c:ext>
          </c:extLst>
        </c:ser>
        <c:ser>
          <c:idx val="8"/>
          <c:order val="4"/>
          <c:tx>
            <c:strRef>
              <c:f>Projections!$A$97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Projections!$I$97:$AL$97</c15:sqref>
                  </c15:fullRef>
                </c:ext>
              </c:extLst>
              <c:f>Projections!$I$97:$Z$97</c:f>
              <c:numCache>
                <c:formatCode>#,##0</c:formatCode>
                <c:ptCount val="18"/>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pt idx="14">
                  <c:v>1630.3232998885171</c:v>
                </c:pt>
                <c:pt idx="15">
                  <c:v>2241.6945373467111</c:v>
                </c:pt>
                <c:pt idx="16">
                  <c:v>2853.0657748049048</c:v>
                </c:pt>
                <c:pt idx="17">
                  <c:v>3464.4370122630989</c:v>
                </c:pt>
              </c:numCache>
            </c:numRef>
          </c:val>
          <c:smooth val="0"/>
          <c:extLst>
            <c:ext xmlns:c16="http://schemas.microsoft.com/office/drawing/2014/chart" uri="{C3380CC4-5D6E-409C-BE32-E72D297353CC}">
              <c16:uniqueId val="{00000008-04B6-450D-AD81-6BF382C059D1}"/>
            </c:ext>
          </c:extLst>
        </c:ser>
        <c:ser>
          <c:idx val="10"/>
          <c:order val="5"/>
          <c:tx>
            <c:strRef>
              <c:f>Projections!$A$99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Projections!$I$99:$AL$99</c15:sqref>
                  </c15:fullRef>
                </c:ext>
              </c:extLst>
              <c:f>Projections!$I$99:$Z$99</c:f>
              <c:numCache>
                <c:formatCode>#,##0</c:formatCode>
                <c:ptCount val="18"/>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pt idx="14">
                  <c:v>2035.2285395763654</c:v>
                </c:pt>
                <c:pt idx="15">
                  <c:v>2798.4392419175024</c:v>
                </c:pt>
                <c:pt idx="16">
                  <c:v>3561.6499442586396</c:v>
                </c:pt>
                <c:pt idx="17">
                  <c:v>4324.8606465997764</c:v>
                </c:pt>
              </c:numCache>
            </c:numRef>
          </c:val>
          <c:smooth val="0"/>
          <c:extLst>
            <c:ext xmlns:c16="http://schemas.microsoft.com/office/drawing/2014/chart" uri="{C3380CC4-5D6E-409C-BE32-E72D297353CC}">
              <c16:uniqueId val="{0000000A-04B6-450D-AD81-6BF382C059D1}"/>
            </c:ext>
          </c:extLst>
        </c:ser>
        <c:ser>
          <c:idx val="12"/>
          <c:order val="6"/>
          <c:tx>
            <c:strRef>
              <c:f>Projections!$A$101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Projections!$I$101:$AL$101</c15:sqref>
                  </c15:fullRef>
                </c:ext>
              </c:extLst>
              <c:f>Projections!$I$101:$Z$101</c:f>
              <c:numCache>
                <c:formatCode>#,##0</c:formatCode>
                <c:ptCount val="18"/>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pt idx="14">
                  <c:v>2661.3154960981051</c:v>
                </c:pt>
                <c:pt idx="15">
                  <c:v>3659.3088071348943</c:v>
                </c:pt>
                <c:pt idx="16">
                  <c:v>4657.302118171684</c:v>
                </c:pt>
                <c:pt idx="17">
                  <c:v>5655.2954292084733</c:v>
                </c:pt>
              </c:numCache>
            </c:numRef>
          </c:val>
          <c:smooth val="0"/>
          <c:extLst>
            <c:ext xmlns:c16="http://schemas.microsoft.com/office/drawing/2014/chart" uri="{C3380CC4-5D6E-409C-BE32-E72D297353CC}">
              <c16:uniqueId val="{0000000C-04B6-450D-AD81-6BF382C059D1}"/>
            </c:ext>
          </c:extLst>
        </c:ser>
        <c:ser>
          <c:idx val="14"/>
          <c:order val="7"/>
          <c:tx>
            <c:strRef>
              <c:f>Projections!$A$103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Projections!$I$103:$AL$103</c15:sqref>
                  </c15:fullRef>
                </c:ext>
              </c:extLst>
              <c:f>Projections!$I$103:$Z$103</c:f>
              <c:numCache>
                <c:formatCode>#,##0</c:formatCode>
                <c:ptCount val="18"/>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pt idx="14">
                  <c:v>415.6075808249721</c:v>
                </c:pt>
                <c:pt idx="15">
                  <c:v>571.46042363433662</c:v>
                </c:pt>
                <c:pt idx="16">
                  <c:v>727.3132664437012</c:v>
                </c:pt>
                <c:pt idx="17">
                  <c:v>883.16610925306566</c:v>
                </c:pt>
              </c:numCache>
            </c:numRef>
          </c:val>
          <c:smooth val="0"/>
          <c:extLst>
            <c:ext xmlns:c16="http://schemas.microsoft.com/office/drawing/2014/chart" uri="{C3380CC4-5D6E-409C-BE32-E72D297353CC}">
              <c16:uniqueId val="{0000000E-04B6-450D-AD81-6BF382C059D1}"/>
            </c:ext>
          </c:extLst>
        </c:ser>
        <c:ser>
          <c:idx val="16"/>
          <c:order val="8"/>
          <c:tx>
            <c:strRef>
              <c:f>Projections!$A$105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Projections!$I$105:$AL$105</c15:sqref>
                  </c15:fullRef>
                </c:ext>
              </c:extLst>
              <c:f>Projections!$I$105:$Z$105</c:f>
              <c:numCache>
                <c:formatCode>#,##0</c:formatCode>
                <c:ptCount val="18"/>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pt idx="14">
                  <c:v>181.93979933110367</c:v>
                </c:pt>
                <c:pt idx="15">
                  <c:v>250.16722408026754</c:v>
                </c:pt>
                <c:pt idx="16">
                  <c:v>318.39464882943145</c:v>
                </c:pt>
                <c:pt idx="17">
                  <c:v>386.62207357859529</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Projections!$I$90:$AL$90</c15:sqref>
                  </c15:fullRef>
                </c:ext>
              </c:extLst>
              <c:f>Projections!$I$90:$Z$90</c:f>
              <c:numCache>
                <c:formatCode>#,##0</c:formatCode>
                <c:ptCount val="18"/>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pt idx="14">
                  <c:v>98.10479375696768</c:v>
                </c:pt>
                <c:pt idx="15">
                  <c:v>134.89409141583056</c:v>
                </c:pt>
                <c:pt idx="16">
                  <c:v>171.68338907469342</c:v>
                </c:pt>
                <c:pt idx="17">
                  <c:v>208.47268673355632</c:v>
                </c:pt>
              </c:numCache>
            </c:numRef>
          </c:val>
          <c:smooth val="0"/>
          <c:extLst>
            <c:ext xmlns:c16="http://schemas.microsoft.com/office/drawing/2014/chart" uri="{C3380CC4-5D6E-409C-BE32-E72D297353CC}">
              <c16:uniqueId val="{00000001-EBAD-48A5-9277-83F388186C0C}"/>
            </c:ext>
          </c:extLst>
        </c:ser>
        <c:ser>
          <c:idx val="3"/>
          <c:order val="1"/>
          <c:tx>
            <c:strRef>
              <c:f>Projections!$A$91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Projections!$I$92:$AL$92</c15:sqref>
                  </c15:fullRef>
                </c:ext>
              </c:extLst>
              <c:f>Projections!$I$92:$Z$92</c:f>
              <c:numCache>
                <c:formatCode>#,##0</c:formatCode>
                <c:ptCount val="18"/>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pt idx="14">
                  <c:v>60.646599777034552</c:v>
                </c:pt>
                <c:pt idx="15">
                  <c:v>83.389074693422515</c:v>
                </c:pt>
                <c:pt idx="16">
                  <c:v>106.13154960981049</c:v>
                </c:pt>
                <c:pt idx="17">
                  <c:v>128.87402452619844</c:v>
                </c:pt>
              </c:numCache>
            </c:numRef>
          </c:val>
          <c:smooth val="0"/>
          <c:extLst>
            <c:ext xmlns:c16="http://schemas.microsoft.com/office/drawing/2014/chart" uri="{C3380CC4-5D6E-409C-BE32-E72D297353CC}">
              <c16:uniqueId val="{00000003-EBAD-48A5-9277-83F388186C0C}"/>
            </c:ext>
          </c:extLst>
        </c:ser>
        <c:ser>
          <c:idx val="5"/>
          <c:order val="2"/>
          <c:tx>
            <c:strRef>
              <c:f>Projections!$A$93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Projections!$I$94:$AL$94</c15:sqref>
                  </c15:fullRef>
                </c:ext>
              </c:extLst>
              <c:f>Projections!$I$94:$Z$94</c:f>
              <c:numCache>
                <c:formatCode>#,##0</c:formatCode>
                <c:ptCount val="18"/>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pt idx="14">
                  <c:v>17.837235228539576</c:v>
                </c:pt>
                <c:pt idx="15">
                  <c:v>24.52619843924192</c:v>
                </c:pt>
                <c:pt idx="16">
                  <c:v>31.21516164994426</c:v>
                </c:pt>
                <c:pt idx="17">
                  <c:v>37.904124860646597</c:v>
                </c:pt>
              </c:numCache>
            </c:numRef>
          </c:val>
          <c:smooth val="0"/>
          <c:extLst>
            <c:ext xmlns:c16="http://schemas.microsoft.com/office/drawing/2014/chart" uri="{C3380CC4-5D6E-409C-BE32-E72D297353CC}">
              <c16:uniqueId val="{00000005-EBAD-48A5-9277-83F388186C0C}"/>
            </c:ext>
          </c:extLst>
        </c:ser>
        <c:ser>
          <c:idx val="7"/>
          <c:order val="3"/>
          <c:tx>
            <c:strRef>
              <c:f>Projections!$A$95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Projections!$I$96:$AL$96</c15:sqref>
                  </c15:fullRef>
                </c:ext>
              </c:extLst>
              <c:f>Projections!$I$96:$Z$96</c:f>
              <c:numCache>
                <c:formatCode>#,##0</c:formatCode>
                <c:ptCount val="18"/>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pt idx="14">
                  <c:v>3.5674470457079153</c:v>
                </c:pt>
                <c:pt idx="15">
                  <c:v>4.9052396878483835</c:v>
                </c:pt>
                <c:pt idx="16">
                  <c:v>6.2430323299888508</c:v>
                </c:pt>
                <c:pt idx="17">
                  <c:v>7.5808249721293182</c:v>
                </c:pt>
              </c:numCache>
            </c:numRef>
          </c:val>
          <c:smooth val="0"/>
          <c:extLst>
            <c:ext xmlns:c16="http://schemas.microsoft.com/office/drawing/2014/chart" uri="{C3380CC4-5D6E-409C-BE32-E72D297353CC}">
              <c16:uniqueId val="{00000007-EBAD-48A5-9277-83F388186C0C}"/>
            </c:ext>
          </c:extLst>
        </c:ser>
        <c:ser>
          <c:idx val="9"/>
          <c:order val="4"/>
          <c:tx>
            <c:strRef>
              <c:f>Projections!$A$97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Projections!$I$98:$AL$98</c15:sqref>
                  </c15:fullRef>
                </c:ext>
              </c:extLst>
              <c:f>Projections!$I$98:$Z$98</c:f>
              <c:numCache>
                <c:formatCode>#,##0</c:formatCode>
                <c:ptCount val="18"/>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pt idx="14">
                  <c:v>1.7837235228539574</c:v>
                </c:pt>
                <c:pt idx="15">
                  <c:v>2.4526198439241913</c:v>
                </c:pt>
                <c:pt idx="16">
                  <c:v>3.1215161649944254</c:v>
                </c:pt>
                <c:pt idx="17">
                  <c:v>3.7904124860646595</c:v>
                </c:pt>
              </c:numCache>
            </c:numRef>
          </c:val>
          <c:smooth val="0"/>
          <c:extLst>
            <c:ext xmlns:c16="http://schemas.microsoft.com/office/drawing/2014/chart" uri="{C3380CC4-5D6E-409C-BE32-E72D297353CC}">
              <c16:uniqueId val="{00000009-EBAD-48A5-9277-83F388186C0C}"/>
            </c:ext>
          </c:extLst>
        </c:ser>
        <c:ser>
          <c:idx val="11"/>
          <c:order val="5"/>
          <c:tx>
            <c:strRef>
              <c:f>Projections!$A$99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Projections!$I$100:$AL$100</c15:sqref>
                  </c15:fullRef>
                </c:ext>
              </c:extLst>
              <c:f>Projections!$I$100:$Z$100</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B-EBAD-48A5-9277-83F388186C0C}"/>
            </c:ext>
          </c:extLst>
        </c:ser>
        <c:ser>
          <c:idx val="13"/>
          <c:order val="6"/>
          <c:tx>
            <c:strRef>
              <c:f>Projections!$A$101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Projections!$I$102:$AL$102</c15:sqref>
                  </c15:fullRef>
                </c:ext>
              </c:extLst>
              <c:f>Projections!$I$102:$Z$102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D-EBAD-48A5-9277-83F388186C0C}"/>
            </c:ext>
          </c:extLst>
        </c:ser>
        <c:ser>
          <c:idx val="15"/>
          <c:order val="7"/>
          <c:tx>
            <c:strRef>
              <c:f>Projections!$A$103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Projections!$I$104:$AL$104</c15:sqref>
                  </c15:fullRef>
                </c:ext>
              </c:extLst>
              <c:f>Projections!$I$104:$Z$104</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F-EBAD-48A5-9277-83F388186C0C}"/>
            </c:ext>
          </c:extLst>
        </c:ser>
        <c:ser>
          <c:idx val="17"/>
          <c:order val="8"/>
          <c:tx>
            <c:strRef>
              <c:f>Projections!$A$105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Projections!$I$106:$AL$106</c15:sqref>
                  </c15:fullRef>
                </c:ext>
              </c:extLst>
              <c:f>Projections!$I$106:$Z$106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Projections!$I$118:$AL$118</c15:sqref>
                  </c15:fullRef>
                </c:ext>
              </c:extLst>
              <c:f>Projections!$I$118:$Z$118</c:f>
              <c:numCache>
                <c:formatCode>#,##0</c:formatCode>
                <c:ptCount val="18"/>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1356.8</c:v>
                </c:pt>
                <c:pt idx="15">
                  <c:v>1865.6</c:v>
                </c:pt>
                <c:pt idx="16">
                  <c:v>2374.4</c:v>
                </c:pt>
                <c:pt idx="17">
                  <c:v>2883.2</c:v>
                </c:pt>
              </c:numCache>
            </c:numRef>
          </c:val>
          <c:smooth val="0"/>
          <c:extLst>
            <c:ext xmlns:c16="http://schemas.microsoft.com/office/drawing/2014/chart" uri="{C3380CC4-5D6E-409C-BE32-E72D297353CC}">
              <c16:uniqueId val="{0000001E-05DD-4DD4-A5B5-12D162507280}"/>
            </c:ext>
          </c:extLst>
        </c:ser>
        <c:ser>
          <c:idx val="4"/>
          <c:order val="1"/>
          <c:tx>
            <c:strRef>
              <c:f>Projections!$A$116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Projections!$I$116:$AL$116</c15:sqref>
                  </c15:fullRef>
                </c:ext>
              </c:extLst>
              <c:f>Projections!$I$116:$Z$116</c:f>
              <c:numCache>
                <c:formatCode>#,##0</c:formatCode>
                <c:ptCount val="18"/>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3968</c:v>
                </c:pt>
                <c:pt idx="15">
                  <c:v>5456</c:v>
                </c:pt>
                <c:pt idx="16">
                  <c:v>6944</c:v>
                </c:pt>
                <c:pt idx="17">
                  <c:v>8432</c:v>
                </c:pt>
              </c:numCache>
            </c:numRef>
          </c:val>
          <c:smooth val="0"/>
          <c:extLst>
            <c:ext xmlns:c16="http://schemas.microsoft.com/office/drawing/2014/chart" uri="{C3380CC4-5D6E-409C-BE32-E72D297353CC}">
              <c16:uniqueId val="{0000001C-05DD-4DD4-A5B5-12D162507280}"/>
            </c:ext>
          </c:extLst>
        </c:ser>
        <c:ser>
          <c:idx val="10"/>
          <c:order val="2"/>
          <c:tx>
            <c:strRef>
              <c:f>Projections!$A$122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Projections!$I$122:$AL$122</c15:sqref>
                  </c15:fullRef>
                </c:ext>
              </c:extLst>
              <c:f>Projections!$I$122:$Z$122</c:f>
              <c:numCache>
                <c:formatCode>#,##0</c:formatCode>
                <c:ptCount val="18"/>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1945.6</c:v>
                </c:pt>
                <c:pt idx="15">
                  <c:v>2675.2</c:v>
                </c:pt>
                <c:pt idx="16">
                  <c:v>3404.7999999999997</c:v>
                </c:pt>
                <c:pt idx="17">
                  <c:v>4134.3999999999996</c:v>
                </c:pt>
              </c:numCache>
            </c:numRef>
          </c:val>
          <c:smooth val="0"/>
          <c:extLst>
            <c:ext xmlns:c16="http://schemas.microsoft.com/office/drawing/2014/chart" uri="{C3380CC4-5D6E-409C-BE32-E72D297353CC}">
              <c16:uniqueId val="{00000022-05DD-4DD4-A5B5-12D162507280}"/>
            </c:ext>
          </c:extLst>
        </c:ser>
        <c:ser>
          <c:idx val="0"/>
          <c:order val="3"/>
          <c:tx>
            <c:strRef>
              <c:f>Projections!$A$112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Projections!$I$112:$AL$112</c15:sqref>
                  </c15:fullRef>
                </c:ext>
              </c:extLst>
              <c:f>Projections!$I$112:$Z$112</c:f>
              <c:numCache>
                <c:formatCode>#,##0</c:formatCode>
                <c:ptCount val="18"/>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640</c:v>
                </c:pt>
                <c:pt idx="15">
                  <c:v>880</c:v>
                </c:pt>
                <c:pt idx="16">
                  <c:v>1120</c:v>
                </c:pt>
                <c:pt idx="17">
                  <c:v>1360</c:v>
                </c:pt>
              </c:numCache>
            </c:numRef>
          </c:val>
          <c:smooth val="0"/>
          <c:extLst>
            <c:ext xmlns:c16="http://schemas.microsoft.com/office/drawing/2014/chart" uri="{C3380CC4-5D6E-409C-BE32-E72D297353CC}">
              <c16:uniqueId val="{00000018-05DD-4DD4-A5B5-12D162507280}"/>
            </c:ext>
          </c:extLst>
        </c:ser>
        <c:ser>
          <c:idx val="2"/>
          <c:order val="4"/>
          <c:tx>
            <c:strRef>
              <c:f>Projections!$A$114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Projections!$I$114:$AL$114</c15:sqref>
                  </c15:fullRef>
                </c:ext>
              </c:extLst>
              <c:f>Projections!$I$114:$Z$114</c:f>
              <c:numCache>
                <c:formatCode>#,##0</c:formatCode>
                <c:ptCount val="18"/>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627.20000000000005</c:v>
                </c:pt>
                <c:pt idx="15">
                  <c:v>862.4</c:v>
                </c:pt>
                <c:pt idx="16">
                  <c:v>1097.6000000000001</c:v>
                </c:pt>
                <c:pt idx="17">
                  <c:v>1332.8</c:v>
                </c:pt>
              </c:numCache>
            </c:numRef>
          </c:val>
          <c:smooth val="0"/>
          <c:extLst>
            <c:ext xmlns:c16="http://schemas.microsoft.com/office/drawing/2014/chart" uri="{C3380CC4-5D6E-409C-BE32-E72D297353CC}">
              <c16:uniqueId val="{0000001A-05DD-4DD4-A5B5-12D162507280}"/>
            </c:ext>
          </c:extLst>
        </c:ser>
        <c:ser>
          <c:idx val="8"/>
          <c:order val="5"/>
          <c:tx>
            <c:strRef>
              <c:f>Projections!$A$120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Projections!$I$120:$AL$120</c15:sqref>
                  </c15:fullRef>
                </c:ext>
              </c:extLst>
              <c:f>Projections!$I$120:$Z$120</c:f>
              <c:numCache>
                <c:formatCode>#,##0</c:formatCode>
                <c:ptCount val="18"/>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230.39999999999998</c:v>
                </c:pt>
                <c:pt idx="15">
                  <c:v>316.79999999999995</c:v>
                </c:pt>
                <c:pt idx="16">
                  <c:v>403.2</c:v>
                </c:pt>
                <c:pt idx="17">
                  <c:v>489.59999999999997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Projections!$I$119:$AL$119</c15:sqref>
                  </c15:fullRef>
                </c:ext>
              </c:extLst>
              <c:f>Projections!$I$119:$Z$119</c:f>
              <c:numCache>
                <c:formatCode>#,##0</c:formatCode>
                <c:ptCount val="18"/>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81.408000000000001</c:v>
                </c:pt>
                <c:pt idx="15">
                  <c:v>111.93599999999999</c:v>
                </c:pt>
                <c:pt idx="16">
                  <c:v>142.464</c:v>
                </c:pt>
                <c:pt idx="17">
                  <c:v>172.99199999999999</c:v>
                </c:pt>
              </c:numCache>
            </c:numRef>
          </c:val>
          <c:smooth val="0"/>
          <c:extLst>
            <c:ext xmlns:c16="http://schemas.microsoft.com/office/drawing/2014/chart" uri="{C3380CC4-5D6E-409C-BE32-E72D297353CC}">
              <c16:uniqueId val="{00000007-65B4-47F9-9B97-64FB989C8893}"/>
            </c:ext>
          </c:extLst>
        </c:ser>
        <c:ser>
          <c:idx val="5"/>
          <c:order val="1"/>
          <c:tx>
            <c:strRef>
              <c:f>Projections!$A$116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Projections!$I$117:$AL$117</c15:sqref>
                  </c15:fullRef>
                </c:ext>
              </c:extLst>
              <c:f>Projections!$I$117:$Z$117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249.98400000000001</c:v>
                </c:pt>
                <c:pt idx="15">
                  <c:v>343.72800000000001</c:v>
                </c:pt>
                <c:pt idx="16">
                  <c:v>437.47199999999998</c:v>
                </c:pt>
                <c:pt idx="17">
                  <c:v>531.21600000000001</c:v>
                </c:pt>
              </c:numCache>
            </c:numRef>
          </c:val>
          <c:smooth val="0"/>
          <c:extLst>
            <c:ext xmlns:c16="http://schemas.microsoft.com/office/drawing/2014/chart" uri="{C3380CC4-5D6E-409C-BE32-E72D297353CC}">
              <c16:uniqueId val="{00000005-65B4-47F9-9B97-64FB989C8893}"/>
            </c:ext>
          </c:extLst>
        </c:ser>
        <c:ser>
          <c:idx val="1"/>
          <c:order val="2"/>
          <c:tx>
            <c:strRef>
              <c:f>Projections!$A$112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Projections!$I$113:$AL$113</c15:sqref>
                  </c15:fullRef>
                </c:ext>
              </c:extLst>
              <c:f>Projections!$I$113:$Z$113</c:f>
              <c:numCache>
                <c:formatCode>#,##0</c:formatCode>
                <c:ptCount val="18"/>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67.2</c:v>
                </c:pt>
                <c:pt idx="15">
                  <c:v>92.399999999999991</c:v>
                </c:pt>
                <c:pt idx="16">
                  <c:v>117.6</c:v>
                </c:pt>
                <c:pt idx="17">
                  <c:v>142.79999999999998</c:v>
                </c:pt>
              </c:numCache>
            </c:numRef>
          </c:val>
          <c:smooth val="0"/>
          <c:extLst>
            <c:ext xmlns:c16="http://schemas.microsoft.com/office/drawing/2014/chart" uri="{C3380CC4-5D6E-409C-BE32-E72D297353CC}">
              <c16:uniqueId val="{00000001-65B4-47F9-9B97-64FB989C8893}"/>
            </c:ext>
          </c:extLst>
        </c:ser>
        <c:ser>
          <c:idx val="3"/>
          <c:order val="3"/>
          <c:tx>
            <c:strRef>
              <c:f>Projections!$A$114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Projections!$I$115:$AL$115</c15:sqref>
                  </c15:fullRef>
                </c:ext>
              </c:extLst>
              <c:f>Projections!$I$115:$Z$115</c:f>
              <c:numCache>
                <c:formatCode>#,##0</c:formatCode>
                <c:ptCount val="18"/>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45.785600000000002</c:v>
                </c:pt>
                <c:pt idx="15">
                  <c:v>62.955199999999998</c:v>
                </c:pt>
                <c:pt idx="16">
                  <c:v>80.124800000000008</c:v>
                </c:pt>
                <c:pt idx="17">
                  <c:v>97.294399999999996</c:v>
                </c:pt>
              </c:numCache>
            </c:numRef>
          </c:val>
          <c:smooth val="0"/>
          <c:extLst>
            <c:ext xmlns:c16="http://schemas.microsoft.com/office/drawing/2014/chart" uri="{C3380CC4-5D6E-409C-BE32-E72D297353CC}">
              <c16:uniqueId val="{00000003-65B4-47F9-9B97-64FB989C8893}"/>
            </c:ext>
          </c:extLst>
        </c:ser>
        <c:ser>
          <c:idx val="9"/>
          <c:order val="4"/>
          <c:tx>
            <c:strRef>
              <c:f>Projections!$A$120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Projections!$I$56:$AL$56</c15:sqref>
                  </c15:fullRef>
                </c:ext>
              </c:extLst>
              <c:f>Projections!$I$56:$Z$56</c:f>
              <c:numCache>
                <c:formatCode>m/d/yyyy</c:formatCode>
                <c:ptCount val="18"/>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44033</c:v>
                </c:pt>
                <c:pt idx="15">
                  <c:v>44052</c:v>
                </c:pt>
                <c:pt idx="16">
                  <c:v>44071</c:v>
                </c:pt>
                <c:pt idx="17">
                  <c:v>44090</c:v>
                </c:pt>
              </c:numCache>
            </c:numRef>
          </c:cat>
          <c:val>
            <c:numRef>
              <c:extLst>
                <c:ext xmlns:c15="http://schemas.microsoft.com/office/drawing/2012/chart" uri="{02D57815-91ED-43cb-92C2-25804820EDAC}">
                  <c15:fullRef>
                    <c15:sqref>Projections!$I$121:$AL$121</c15:sqref>
                  </c15:fullRef>
                </c:ext>
              </c:extLst>
              <c:f>Projections!$I$121:$Z$121</c:f>
              <c:numCache>
                <c:formatCode>#,##0</c:formatCode>
                <c:ptCount val="18"/>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12.902399999999998</c:v>
                </c:pt>
                <c:pt idx="15">
                  <c:v>17.740799999999997</c:v>
                </c:pt>
                <c:pt idx="16">
                  <c:v>22.5792</c:v>
                </c:pt>
                <c:pt idx="17">
                  <c:v>27.4176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581026</xdr:colOff>
      <xdr:row>55</xdr:row>
      <xdr:rowOff>66675</xdr:rowOff>
    </xdr:from>
    <xdr:to>
      <xdr:col>51</xdr:col>
      <xdr:colOff>409575</xdr:colOff>
      <xdr:row>87</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545955</xdr:colOff>
      <xdr:row>127</xdr:row>
      <xdr:rowOff>82014</xdr:rowOff>
    </xdr:from>
    <xdr:to>
      <xdr:col>51</xdr:col>
      <xdr:colOff>438150</xdr:colOff>
      <xdr:row>150</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574531</xdr:colOff>
      <xdr:row>151</xdr:row>
      <xdr:rowOff>86776</xdr:rowOff>
    </xdr:from>
    <xdr:to>
      <xdr:col>51</xdr:col>
      <xdr:colOff>447675</xdr:colOff>
      <xdr:row>168</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550717</xdr:colOff>
      <xdr:row>169</xdr:row>
      <xdr:rowOff>67725</xdr:rowOff>
    </xdr:from>
    <xdr:to>
      <xdr:col>51</xdr:col>
      <xdr:colOff>457199</xdr:colOff>
      <xdr:row>185</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550719</xdr:colOff>
      <xdr:row>186</xdr:row>
      <xdr:rowOff>86775</xdr:rowOff>
    </xdr:from>
    <xdr:to>
      <xdr:col>51</xdr:col>
      <xdr:colOff>438150</xdr:colOff>
      <xdr:row>205</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547687</xdr:colOff>
      <xdr:row>89</xdr:row>
      <xdr:rowOff>80962</xdr:rowOff>
    </xdr:from>
    <xdr:to>
      <xdr:col>51</xdr:col>
      <xdr:colOff>438150</xdr:colOff>
      <xdr:row>109</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549728</xdr:colOff>
      <xdr:row>110</xdr:row>
      <xdr:rowOff>78921</xdr:rowOff>
    </xdr:from>
    <xdr:to>
      <xdr:col>51</xdr:col>
      <xdr:colOff>400050</xdr:colOff>
      <xdr:row>126</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419101</xdr:colOff>
      <xdr:row>55</xdr:row>
      <xdr:rowOff>66675</xdr:rowOff>
    </xdr:from>
    <xdr:to>
      <xdr:col>64</xdr:col>
      <xdr:colOff>581025</xdr:colOff>
      <xdr:row>87</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417367</xdr:colOff>
      <xdr:row>127</xdr:row>
      <xdr:rowOff>62964</xdr:rowOff>
    </xdr:from>
    <xdr:to>
      <xdr:col>65</xdr:col>
      <xdr:colOff>19050</xdr:colOff>
      <xdr:row>150</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407843</xdr:colOff>
      <xdr:row>151</xdr:row>
      <xdr:rowOff>77251</xdr:rowOff>
    </xdr:from>
    <xdr:to>
      <xdr:col>65</xdr:col>
      <xdr:colOff>9525</xdr:colOff>
      <xdr:row>168</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422129</xdr:colOff>
      <xdr:row>169</xdr:row>
      <xdr:rowOff>67725</xdr:rowOff>
    </xdr:from>
    <xdr:to>
      <xdr:col>65</xdr:col>
      <xdr:colOff>28574</xdr:colOff>
      <xdr:row>185</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441181</xdr:colOff>
      <xdr:row>186</xdr:row>
      <xdr:rowOff>86775</xdr:rowOff>
    </xdr:from>
    <xdr:to>
      <xdr:col>65</xdr:col>
      <xdr:colOff>38100</xdr:colOff>
      <xdr:row>205</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409574</xdr:colOff>
      <xdr:row>89</xdr:row>
      <xdr:rowOff>90487</xdr:rowOff>
    </xdr:from>
    <xdr:to>
      <xdr:col>65</xdr:col>
      <xdr:colOff>9525</xdr:colOff>
      <xdr:row>109</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416378</xdr:colOff>
      <xdr:row>110</xdr:row>
      <xdr:rowOff>78921</xdr:rowOff>
    </xdr:from>
    <xdr:to>
      <xdr:col>64</xdr:col>
      <xdr:colOff>581025</xdr:colOff>
      <xdr:row>126</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/Projections!B45</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43976.838102893518</v>
      </c>
      <c r="C26" s="103">
        <f t="shared" ca="1" si="0"/>
        <v>43977.838102893518</v>
      </c>
      <c r="D26" s="103">
        <f t="shared" ca="1" si="0"/>
        <v>43978.838102893518</v>
      </c>
      <c r="E26" s="103">
        <f t="shared" ca="1" si="0"/>
        <v>43979.838102893518</v>
      </c>
      <c r="F26" s="103">
        <f t="shared" ca="1" si="0"/>
        <v>43980.838102893518</v>
      </c>
      <c r="G26" s="104">
        <f t="shared" ca="1" si="0"/>
        <v>43981.838102893518</v>
      </c>
      <c r="H26" s="103">
        <f t="shared" ref="H26:U26" ca="1" si="1">I26-1</f>
        <v>43982.838102893518</v>
      </c>
      <c r="I26" s="103">
        <f t="shared" ca="1" si="1"/>
        <v>43983.838102893518</v>
      </c>
      <c r="J26" s="103">
        <f t="shared" ca="1" si="1"/>
        <v>43984.838102893518</v>
      </c>
      <c r="K26" s="103">
        <f t="shared" ca="1" si="1"/>
        <v>43985.838102893518</v>
      </c>
      <c r="L26" s="103">
        <f t="shared" ca="1" si="1"/>
        <v>43986.838102893518</v>
      </c>
      <c r="M26" s="103">
        <f t="shared" ca="1" si="1"/>
        <v>43987.838102893518</v>
      </c>
      <c r="N26" s="104">
        <f t="shared" ca="1" si="1"/>
        <v>43988.838102893518</v>
      </c>
      <c r="O26" s="102">
        <f t="shared" ca="1" si="1"/>
        <v>43989.838102893518</v>
      </c>
      <c r="P26" s="103">
        <f t="shared" ca="1" si="1"/>
        <v>43990.838102893518</v>
      </c>
      <c r="Q26" s="103">
        <f t="shared" ca="1" si="1"/>
        <v>43991.838102893518</v>
      </c>
      <c r="R26" s="103">
        <f t="shared" ca="1" si="1"/>
        <v>43992.838102893518</v>
      </c>
      <c r="S26" s="103">
        <f t="shared" ca="1" si="1"/>
        <v>43993.838102893518</v>
      </c>
      <c r="T26" s="103">
        <f t="shared" ca="1" si="1"/>
        <v>43994.838102893518</v>
      </c>
      <c r="U26" s="104">
        <f t="shared" ca="1" si="1"/>
        <v>43995.838102893518</v>
      </c>
      <c r="V26" s="102">
        <f t="shared" ref="V26:AN26" ca="1" si="2">W26-1</f>
        <v>43996.838102893518</v>
      </c>
      <c r="W26" s="103">
        <f t="shared" ca="1" si="2"/>
        <v>43997.838102893518</v>
      </c>
      <c r="X26" s="103">
        <f t="shared" ca="1" si="2"/>
        <v>43998.838102893518</v>
      </c>
      <c r="Y26" s="103">
        <f t="shared" ca="1" si="2"/>
        <v>43999.838102893518</v>
      </c>
      <c r="Z26" s="103">
        <f t="shared" ca="1" si="2"/>
        <v>44000.838102893518</v>
      </c>
      <c r="AA26" s="103">
        <f t="shared" ca="1" si="2"/>
        <v>44001.838102893518</v>
      </c>
      <c r="AB26" s="104">
        <f t="shared" ca="1" si="2"/>
        <v>44002.838102893518</v>
      </c>
      <c r="AC26" s="102">
        <f t="shared" ca="1" si="2"/>
        <v>44003.838102893518</v>
      </c>
      <c r="AD26" s="103">
        <f t="shared" ca="1" si="2"/>
        <v>44004.838102893518</v>
      </c>
      <c r="AE26" s="103">
        <f t="shared" ca="1" si="2"/>
        <v>44005.838102893518</v>
      </c>
      <c r="AF26" s="103">
        <f t="shared" ca="1" si="2"/>
        <v>44006.838102893518</v>
      </c>
      <c r="AG26" s="103">
        <f t="shared" ca="1" si="2"/>
        <v>44007.838102893518</v>
      </c>
      <c r="AH26" s="103">
        <f t="shared" ca="1" si="2"/>
        <v>44008.838102893518</v>
      </c>
      <c r="AI26" s="104">
        <f t="shared" ca="1" si="2"/>
        <v>44009.838102893518</v>
      </c>
      <c r="AJ26" s="102">
        <f t="shared" ca="1" si="2"/>
        <v>44010.838102893518</v>
      </c>
      <c r="AK26" s="103">
        <f t="shared" ca="1" si="2"/>
        <v>44011.838102893518</v>
      </c>
      <c r="AL26" s="103">
        <f t="shared" ca="1" si="2"/>
        <v>44012.838102893518</v>
      </c>
      <c r="AM26" s="103">
        <f t="shared" ca="1" si="2"/>
        <v>44013.838102893518</v>
      </c>
      <c r="AN26" s="103">
        <f t="shared" ca="1" si="2"/>
        <v>44014.838102893518</v>
      </c>
      <c r="AO26" s="103">
        <f ca="1">AP26-1</f>
        <v>44015.838102893518</v>
      </c>
      <c r="AP26" s="124">
        <f ca="1">NOW()</f>
        <v>44016.838102893518</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18" t="s">
        <v>166</v>
      </c>
      <c r="C28" s="319"/>
      <c r="D28" s="319"/>
      <c r="E28" s="319"/>
      <c r="F28" s="319"/>
      <c r="G28" s="320"/>
      <c r="H28" s="324" t="s">
        <v>154</v>
      </c>
      <c r="I28" s="324"/>
      <c r="J28" s="324"/>
      <c r="K28" s="324"/>
      <c r="L28" s="324"/>
      <c r="M28" s="324"/>
      <c r="N28" s="325"/>
      <c r="O28" s="323" t="s">
        <v>155</v>
      </c>
      <c r="P28" s="324"/>
      <c r="Q28" s="324"/>
      <c r="R28" s="324"/>
      <c r="S28" s="324"/>
      <c r="T28" s="324"/>
      <c r="U28" s="325"/>
      <c r="V28" s="323" t="s">
        <v>156</v>
      </c>
      <c r="W28" s="324"/>
      <c r="X28" s="324"/>
      <c r="Y28" s="324"/>
      <c r="Z28" s="324"/>
      <c r="AA28" s="324"/>
      <c r="AB28" s="325"/>
      <c r="AC28" s="323" t="s">
        <v>157</v>
      </c>
      <c r="AD28" s="324"/>
      <c r="AE28" s="324"/>
      <c r="AF28" s="324"/>
      <c r="AG28" s="324"/>
      <c r="AH28" s="324"/>
      <c r="AI28" s="325"/>
      <c r="AJ28" s="323" t="s">
        <v>158</v>
      </c>
      <c r="AK28" s="324"/>
      <c r="AL28" s="324"/>
      <c r="AM28" s="324"/>
      <c r="AN28" s="324"/>
      <c r="AO28" s="324"/>
      <c r="AP28" s="325"/>
    </row>
    <row r="29" spans="1:43" x14ac:dyDescent="0.25">
      <c r="B29" s="63" t="s">
        <v>178</v>
      </c>
      <c r="C29" s="109"/>
      <c r="D29" s="109"/>
      <c r="E29" s="109"/>
      <c r="F29" s="109"/>
      <c r="G29" s="110"/>
      <c r="H29" s="321" t="s">
        <v>165</v>
      </c>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2"/>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1-Projections!B45</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Projections!B52</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25"/>
  <sheetViews>
    <sheetView tabSelected="1" topLeftCell="A28" zoomScale="85" zoomScaleNormal="85" workbookViewId="0">
      <selection activeCell="AA46" sqref="AA46"/>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6" width="13.5703125" customWidth="1"/>
    <col min="7" max="7" width="10.7109375" bestFit="1" customWidth="1"/>
    <col min="8" max="8" width="11.28515625" customWidth="1"/>
    <col min="9" max="9" width="10.7109375" customWidth="1"/>
    <col min="10" max="10" width="10.85546875" bestFit="1" customWidth="1"/>
    <col min="11" max="11" width="10.7109375" bestFit="1" customWidth="1"/>
    <col min="12" max="13" width="10.85546875" bestFit="1" customWidth="1"/>
    <col min="14" max="14" width="10.5703125" customWidth="1"/>
    <col min="15" max="15" width="11.28515625" bestFit="1" customWidth="1"/>
    <col min="16" max="21" width="11" customWidth="1"/>
    <col min="22" max="26" width="10.7109375" customWidth="1"/>
    <col min="27" max="28" width="10.85546875" bestFit="1" customWidth="1"/>
    <col min="29" max="29" width="10.85546875" customWidth="1"/>
    <col min="30" max="30" width="10.7109375" bestFit="1" customWidth="1"/>
    <col min="31" max="31" width="10.85546875" bestFit="1" customWidth="1"/>
    <col min="32" max="32" width="11.28515625" customWidth="1"/>
    <col min="33" max="34" width="10.7109375" bestFit="1" customWidth="1"/>
    <col min="35" max="35" width="10.7109375" customWidth="1"/>
    <col min="36" max="36" width="11.28515625" customWidth="1"/>
    <col min="37" max="37" width="10.85546875" bestFit="1" customWidth="1"/>
    <col min="38" max="38" width="11.28515625" bestFit="1" customWidth="1"/>
    <col min="39" max="39" width="10.5703125" style="81" bestFit="1" customWidth="1"/>
    <col min="40" max="40" width="11.140625" bestFit="1" customWidth="1"/>
    <col min="41" max="41" width="12.140625" bestFit="1" customWidth="1"/>
  </cols>
  <sheetData>
    <row r="1" spans="7:21" x14ac:dyDescent="0.25">
      <c r="G1" t="s">
        <v>219</v>
      </c>
    </row>
    <row r="2" spans="7:21" x14ac:dyDescent="0.25">
      <c r="G2" s="173">
        <v>43862</v>
      </c>
      <c r="H2" s="174" t="s">
        <v>266</v>
      </c>
      <c r="I2" s="173">
        <f>G2+14</f>
        <v>43876</v>
      </c>
    </row>
    <row r="3" spans="7:21" x14ac:dyDescent="0.25">
      <c r="H3" s="173">
        <v>43891</v>
      </c>
      <c r="I3" s="174" t="s">
        <v>267</v>
      </c>
      <c r="J3" s="174"/>
      <c r="K3" s="174"/>
      <c r="L3" s="173">
        <f>H3+14</f>
        <v>43905</v>
      </c>
    </row>
    <row r="4" spans="7:21" x14ac:dyDescent="0.25">
      <c r="I4" s="173">
        <v>43895</v>
      </c>
      <c r="J4" s="174" t="s">
        <v>268</v>
      </c>
      <c r="K4" s="174"/>
      <c r="L4" s="174"/>
      <c r="M4" s="173">
        <f>I4+14</f>
        <v>43909</v>
      </c>
    </row>
    <row r="5" spans="7:21" x14ac:dyDescent="0.25">
      <c r="K5" s="173">
        <v>43901</v>
      </c>
      <c r="L5" s="174" t="s">
        <v>271</v>
      </c>
      <c r="M5" s="174"/>
      <c r="N5" s="174"/>
      <c r="O5" s="173">
        <f>K5+14</f>
        <v>43915</v>
      </c>
    </row>
    <row r="6" spans="7:21" x14ac:dyDescent="0.25">
      <c r="L6" s="173">
        <v>43906</v>
      </c>
      <c r="M6" s="174" t="s">
        <v>269</v>
      </c>
      <c r="N6" s="174"/>
      <c r="O6" s="174"/>
      <c r="P6" s="173">
        <f>L6+14</f>
        <v>43920</v>
      </c>
      <c r="Q6" s="181"/>
    </row>
    <row r="7" spans="7:21" x14ac:dyDescent="0.25">
      <c r="M7" s="173">
        <v>43908</v>
      </c>
      <c r="N7" s="207" t="s">
        <v>270</v>
      </c>
      <c r="O7" s="207"/>
      <c r="P7" s="173">
        <f>M7+14</f>
        <v>43922</v>
      </c>
      <c r="Q7" s="181"/>
    </row>
    <row r="8" spans="7:21" x14ac:dyDescent="0.25">
      <c r="M8" s="173">
        <v>43909</v>
      </c>
      <c r="N8" s="174" t="s">
        <v>291</v>
      </c>
      <c r="O8" s="174"/>
      <c r="P8" s="173">
        <v>43923</v>
      </c>
    </row>
    <row r="9" spans="7:21" x14ac:dyDescent="0.25">
      <c r="N9" s="173">
        <v>43911</v>
      </c>
      <c r="O9" s="174" t="s">
        <v>294</v>
      </c>
      <c r="P9" s="173">
        <f>N9+14</f>
        <v>43925</v>
      </c>
      <c r="Q9" s="181"/>
      <c r="R9" s="181"/>
      <c r="S9" s="181"/>
    </row>
    <row r="10" spans="7:21" x14ac:dyDescent="0.25">
      <c r="N10" s="173">
        <v>43913</v>
      </c>
      <c r="O10" s="174" t="s">
        <v>216</v>
      </c>
      <c r="P10" s="173">
        <f>N10+14</f>
        <v>43927</v>
      </c>
      <c r="Q10" s="181"/>
      <c r="R10" s="181"/>
      <c r="S10" s="181"/>
    </row>
    <row r="11" spans="7:21" x14ac:dyDescent="0.25">
      <c r="O11" s="175">
        <v>43914</v>
      </c>
      <c r="P11" s="207" t="s">
        <v>292</v>
      </c>
      <c r="Q11" s="175">
        <v>43928</v>
      </c>
    </row>
    <row r="12" spans="7:21" x14ac:dyDescent="0.25">
      <c r="N12" s="28"/>
      <c r="O12" s="175">
        <v>43915</v>
      </c>
      <c r="P12" s="207" t="s">
        <v>293</v>
      </c>
      <c r="Q12" s="175">
        <v>43929</v>
      </c>
    </row>
    <row r="13" spans="7:21" x14ac:dyDescent="0.25">
      <c r="O13" s="175">
        <v>43915</v>
      </c>
      <c r="P13" s="207" t="s">
        <v>217</v>
      </c>
      <c r="Q13" s="175">
        <f>O13+14</f>
        <v>43929</v>
      </c>
      <c r="R13" s="81"/>
      <c r="S13" s="81"/>
      <c r="T13" s="81"/>
    </row>
    <row r="14" spans="7:21" x14ac:dyDescent="0.25">
      <c r="P14" s="173">
        <v>43920</v>
      </c>
      <c r="Q14" s="174" t="s">
        <v>218</v>
      </c>
      <c r="R14" s="173">
        <f>P14+14</f>
        <v>43934</v>
      </c>
      <c r="S14" s="181"/>
      <c r="T14" s="181"/>
    </row>
    <row r="15" spans="7:21" x14ac:dyDescent="0.25">
      <c r="R15" s="278">
        <v>43948</v>
      </c>
      <c r="S15" t="s">
        <v>298</v>
      </c>
    </row>
    <row r="16" spans="7:21" x14ac:dyDescent="0.25">
      <c r="O16" s="59"/>
      <c r="P16" s="59"/>
      <c r="Q16" s="59"/>
      <c r="R16" s="293">
        <v>43949</v>
      </c>
      <c r="S16" s="294" t="s">
        <v>299</v>
      </c>
      <c r="T16" s="59"/>
      <c r="U16" s="181"/>
    </row>
    <row r="17" spans="17:21" x14ac:dyDescent="0.25">
      <c r="R17" s="278">
        <v>43959</v>
      </c>
      <c r="S17" t="s">
        <v>306</v>
      </c>
      <c r="U17" s="181"/>
    </row>
    <row r="18" spans="17:21" x14ac:dyDescent="0.25">
      <c r="Q18" s="278"/>
      <c r="R18" s="291">
        <v>43961</v>
      </c>
      <c r="S18" s="292" t="s">
        <v>307</v>
      </c>
      <c r="U18" s="181"/>
    </row>
    <row r="19" spans="17:21" x14ac:dyDescent="0.25">
      <c r="R19" s="278">
        <v>43964</v>
      </c>
      <c r="S19" t="s">
        <v>308</v>
      </c>
    </row>
    <row r="20" spans="17:21" x14ac:dyDescent="0.25">
      <c r="S20" s="278">
        <v>43968</v>
      </c>
      <c r="T20" t="s">
        <v>309</v>
      </c>
    </row>
    <row r="21" spans="17:21" x14ac:dyDescent="0.25">
      <c r="S21" s="278">
        <v>43969</v>
      </c>
      <c r="T21" t="s">
        <v>310</v>
      </c>
    </row>
    <row r="22" spans="17:21" x14ac:dyDescent="0.25">
      <c r="S22" s="278">
        <v>43969</v>
      </c>
      <c r="T22" t="s">
        <v>311</v>
      </c>
    </row>
    <row r="23" spans="17:21" x14ac:dyDescent="0.25">
      <c r="S23" s="278">
        <v>43970</v>
      </c>
      <c r="T23" t="s">
        <v>312</v>
      </c>
      <c r="U23" s="181"/>
    </row>
    <row r="24" spans="17:21" x14ac:dyDescent="0.25">
      <c r="S24" s="278">
        <v>43972</v>
      </c>
      <c r="T24" t="s">
        <v>315</v>
      </c>
      <c r="U24" s="181"/>
    </row>
    <row r="25" spans="17:21" x14ac:dyDescent="0.25">
      <c r="S25" s="278">
        <v>43979</v>
      </c>
      <c r="T25" t="s">
        <v>317</v>
      </c>
      <c r="U25" s="81"/>
    </row>
    <row r="26" spans="17:21" x14ac:dyDescent="0.25">
      <c r="S26" s="278">
        <v>43980</v>
      </c>
      <c r="T26" t="s">
        <v>316</v>
      </c>
      <c r="U26" s="181"/>
    </row>
    <row r="27" spans="17:21" x14ac:dyDescent="0.25">
      <c r="S27" s="278">
        <v>43981</v>
      </c>
      <c r="T27" t="s">
        <v>320</v>
      </c>
    </row>
    <row r="28" spans="17:21" x14ac:dyDescent="0.25">
      <c r="S28" s="291">
        <v>43983</v>
      </c>
      <c r="T28" s="292" t="s">
        <v>318</v>
      </c>
    </row>
    <row r="29" spans="17:21" x14ac:dyDescent="0.25">
      <c r="S29" s="278">
        <v>43987</v>
      </c>
      <c r="T29" t="s">
        <v>319</v>
      </c>
    </row>
    <row r="30" spans="17:21" x14ac:dyDescent="0.25">
      <c r="S30" s="278">
        <v>43988</v>
      </c>
      <c r="T30" t="s">
        <v>321</v>
      </c>
    </row>
    <row r="31" spans="17:21" x14ac:dyDescent="0.25">
      <c r="S31" s="278">
        <v>43990</v>
      </c>
      <c r="T31" t="s">
        <v>325</v>
      </c>
    </row>
    <row r="32" spans="17:21" x14ac:dyDescent="0.25">
      <c r="S32" s="278">
        <v>43991</v>
      </c>
      <c r="T32" t="s">
        <v>322</v>
      </c>
    </row>
    <row r="33" spans="1:31" x14ac:dyDescent="0.25">
      <c r="S33" s="278">
        <v>43995</v>
      </c>
      <c r="T33" t="s">
        <v>328</v>
      </c>
    </row>
    <row r="34" spans="1:31" x14ac:dyDescent="0.25">
      <c r="T34" s="278">
        <v>44001</v>
      </c>
      <c r="U34" t="s">
        <v>326</v>
      </c>
    </row>
    <row r="35" spans="1:31" x14ac:dyDescent="0.25">
      <c r="T35" s="278">
        <v>44002</v>
      </c>
      <c r="U35" t="s">
        <v>327</v>
      </c>
    </row>
    <row r="36" spans="1:31" x14ac:dyDescent="0.25">
      <c r="T36" s="278">
        <v>44006</v>
      </c>
      <c r="U36" t="s">
        <v>330</v>
      </c>
    </row>
    <row r="37" spans="1:31" x14ac:dyDescent="0.25">
      <c r="T37" s="278">
        <v>44009</v>
      </c>
      <c r="U37" t="s">
        <v>331</v>
      </c>
    </row>
    <row r="38" spans="1:31" x14ac:dyDescent="0.25">
      <c r="T38" s="278">
        <v>44010</v>
      </c>
      <c r="U38" t="s">
        <v>329</v>
      </c>
    </row>
    <row r="39" spans="1:31" x14ac:dyDescent="0.25">
      <c r="U39" s="278">
        <v>44013</v>
      </c>
      <c r="V39" t="s">
        <v>332</v>
      </c>
    </row>
    <row r="40" spans="1:31" x14ac:dyDescent="0.25">
      <c r="U40" s="278">
        <v>44013</v>
      </c>
      <c r="V40" t="s">
        <v>335</v>
      </c>
      <c r="X40" s="296"/>
      <c r="Y40" s="296"/>
      <c r="Z40" s="296"/>
    </row>
    <row r="41" spans="1:31" x14ac:dyDescent="0.25">
      <c r="V41" s="278">
        <v>44016</v>
      </c>
      <c r="W41" s="326" t="s">
        <v>334</v>
      </c>
      <c r="X41" s="296"/>
      <c r="Y41" s="296"/>
      <c r="Z41" s="296"/>
    </row>
    <row r="42" spans="1:31" x14ac:dyDescent="0.25">
      <c r="V42" s="295">
        <v>44025</v>
      </c>
      <c r="W42" s="296" t="s">
        <v>323</v>
      </c>
    </row>
    <row r="43" spans="1:31" x14ac:dyDescent="0.25">
      <c r="A43" s="16" t="s">
        <v>0</v>
      </c>
      <c r="B43" s="169">
        <v>25634000</v>
      </c>
      <c r="C43" t="s">
        <v>151</v>
      </c>
      <c r="V43" s="295">
        <v>44032</v>
      </c>
      <c r="W43" s="296" t="s">
        <v>324</v>
      </c>
    </row>
    <row r="44" spans="1:31" x14ac:dyDescent="0.25">
      <c r="A44" s="69" t="s">
        <v>313</v>
      </c>
      <c r="B44" s="289">
        <v>1.4E-2</v>
      </c>
    </row>
    <row r="45" spans="1:31" x14ac:dyDescent="0.25">
      <c r="A45" s="16" t="s">
        <v>213</v>
      </c>
      <c r="B45" s="170">
        <f>B44/B52</f>
        <v>1</v>
      </c>
      <c r="C45" t="s">
        <v>314</v>
      </c>
    </row>
    <row r="46" spans="1:31" x14ac:dyDescent="0.25">
      <c r="A46" s="49" t="s">
        <v>215</v>
      </c>
      <c r="B46" s="128">
        <v>0.2</v>
      </c>
    </row>
    <row r="47" spans="1:31" x14ac:dyDescent="0.25">
      <c r="A47" s="53" t="s">
        <v>144</v>
      </c>
      <c r="B47" s="125">
        <v>2.6</v>
      </c>
      <c r="C47" s="76">
        <f>(B43/1000)*B47</f>
        <v>66648.400000000009</v>
      </c>
      <c r="N47" s="164"/>
    </row>
    <row r="48" spans="1:31" x14ac:dyDescent="0.25">
      <c r="A48" s="53" t="s">
        <v>145</v>
      </c>
      <c r="B48" s="125">
        <v>7.4</v>
      </c>
      <c r="C48" s="73">
        <f>(B43/100000)*B48</f>
        <v>1896.9159999999999</v>
      </c>
      <c r="Q48" s="191"/>
      <c r="R48" s="191"/>
      <c r="S48" s="191"/>
      <c r="AD48" s="134"/>
      <c r="AE48" s="278"/>
    </row>
    <row r="49" spans="1:42" x14ac:dyDescent="0.25">
      <c r="A49" s="16" t="s">
        <v>172</v>
      </c>
      <c r="B49" s="126">
        <v>0.92</v>
      </c>
      <c r="C49" s="2" t="s">
        <v>286</v>
      </c>
      <c r="Q49" s="278"/>
      <c r="R49" s="278"/>
      <c r="S49" s="278"/>
      <c r="T49" s="278"/>
      <c r="U49" s="278"/>
      <c r="V49" s="278"/>
      <c r="AC49" s="278"/>
      <c r="AD49" s="134"/>
      <c r="AG49" s="278"/>
    </row>
    <row r="50" spans="1:42" x14ac:dyDescent="0.25">
      <c r="A50" s="53" t="s">
        <v>173</v>
      </c>
      <c r="B50" s="127">
        <v>0.05</v>
      </c>
      <c r="C50" s="2" t="s">
        <v>285</v>
      </c>
      <c r="AD50" s="134"/>
      <c r="AE50" s="278"/>
      <c r="AF50" s="278"/>
    </row>
    <row r="51" spans="1:42" x14ac:dyDescent="0.25">
      <c r="A51" s="49" t="s">
        <v>209</v>
      </c>
      <c r="B51" s="128">
        <v>0.03</v>
      </c>
      <c r="C51" s="2" t="s">
        <v>284</v>
      </c>
      <c r="D51" s="233" t="s">
        <v>279</v>
      </c>
      <c r="E51" s="233"/>
      <c r="F51" s="233"/>
      <c r="M51" s="164"/>
      <c r="Q51" s="191"/>
      <c r="R51" s="191"/>
      <c r="S51" s="191"/>
      <c r="U51" s="59"/>
      <c r="V51" s="81"/>
      <c r="W51" s="81"/>
      <c r="X51" s="81"/>
      <c r="Y51" s="81"/>
      <c r="Z51" s="81"/>
      <c r="AA51" s="81"/>
      <c r="AK51" s="191"/>
    </row>
    <row r="52" spans="1:42" x14ac:dyDescent="0.25">
      <c r="A52" s="49" t="s">
        <v>214</v>
      </c>
      <c r="B52" s="77">
        <v>1.4E-2</v>
      </c>
      <c r="C52" s="2"/>
      <c r="D52" s="194" t="s">
        <v>265</v>
      </c>
      <c r="E52" s="28"/>
      <c r="F52" s="28"/>
      <c r="M52" s="164"/>
      <c r="N52" s="59"/>
      <c r="O52" s="59"/>
      <c r="P52" s="59"/>
      <c r="R52" s="59"/>
      <c r="S52" s="59"/>
      <c r="T52" s="59"/>
      <c r="U52" s="164"/>
      <c r="V52" s="81"/>
      <c r="W52" s="81"/>
      <c r="X52" s="81"/>
      <c r="Y52" s="81"/>
      <c r="Z52" s="81"/>
      <c r="AA52" s="81"/>
      <c r="AJ52" s="192"/>
    </row>
    <row r="53" spans="1:42" x14ac:dyDescent="0.25">
      <c r="A53" s="167" t="s">
        <v>202</v>
      </c>
      <c r="B53" s="168">
        <v>43855</v>
      </c>
      <c r="C53" s="2"/>
      <c r="D53" s="251">
        <f>(AJ56-I56)/(LOG(AJ57/I57)/LOG(2))</f>
        <v>59.555555555555557</v>
      </c>
      <c r="E53" s="314"/>
      <c r="F53" s="314"/>
      <c r="G53" s="191"/>
      <c r="L53" s="28"/>
      <c r="M53" s="59"/>
      <c r="N53" s="59"/>
      <c r="O53" s="59"/>
      <c r="P53" s="59"/>
      <c r="Q53" s="59" t="s">
        <v>280</v>
      </c>
      <c r="R53" s="59"/>
      <c r="S53" s="59"/>
      <c r="T53" s="59"/>
      <c r="U53" s="59"/>
      <c r="V53" s="81"/>
      <c r="W53" s="81"/>
      <c r="X53" s="81"/>
      <c r="Y53" s="81"/>
      <c r="Z53" s="81"/>
      <c r="AA53" s="81"/>
    </row>
    <row r="54" spans="1:42" x14ac:dyDescent="0.25">
      <c r="A54" s="28"/>
      <c r="B54" s="62" t="s">
        <v>150</v>
      </c>
      <c r="C54" s="22"/>
      <c r="D54" s="28"/>
      <c r="E54" s="28"/>
      <c r="F54" s="28"/>
      <c r="G54" s="28"/>
      <c r="H54" s="28"/>
      <c r="I54" s="28"/>
      <c r="J54" s="28"/>
      <c r="K54" s="28"/>
      <c r="L54" s="28"/>
      <c r="M54" s="59"/>
      <c r="N54" s="59"/>
      <c r="O54" t="s">
        <v>296</v>
      </c>
      <c r="P54" s="59"/>
      <c r="R54" s="59"/>
      <c r="S54" s="59" t="s">
        <v>297</v>
      </c>
      <c r="T54" s="59"/>
      <c r="U54" s="59"/>
      <c r="V54" s="59"/>
      <c r="W54" s="59"/>
      <c r="X54" s="59"/>
      <c r="Y54" s="59"/>
      <c r="Z54" s="59"/>
      <c r="AA54" s="59"/>
      <c r="AB54" s="28"/>
      <c r="AC54" s="28"/>
      <c r="AD54" s="28"/>
      <c r="AE54" s="28"/>
      <c r="AF54" s="28"/>
      <c r="AG54" s="28"/>
      <c r="AH54" s="28"/>
      <c r="AI54" s="28"/>
      <c r="AJ54" s="233" t="s">
        <v>281</v>
      </c>
      <c r="AM54" s="166"/>
    </row>
    <row r="55" spans="1:42" x14ac:dyDescent="0.25">
      <c r="A55" s="65" t="s">
        <v>133</v>
      </c>
      <c r="B55" s="206">
        <v>43892</v>
      </c>
      <c r="C55" s="206">
        <v>43908</v>
      </c>
      <c r="D55" s="206">
        <v>43914</v>
      </c>
      <c r="E55" s="206">
        <v>43919</v>
      </c>
      <c r="F55" s="206"/>
      <c r="G55" s="206"/>
      <c r="H55" s="206"/>
      <c r="I55" s="147" t="s">
        <v>161</v>
      </c>
      <c r="J55" s="28"/>
      <c r="K55" s="28"/>
      <c r="L55" s="28"/>
      <c r="M55" s="59"/>
      <c r="N55" s="59"/>
      <c r="O55" s="59"/>
      <c r="P55" s="290"/>
      <c r="Q55" s="194" t="s">
        <v>295</v>
      </c>
      <c r="R55" s="197"/>
      <c r="S55" s="197"/>
      <c r="T55" s="317" t="s">
        <v>333</v>
      </c>
      <c r="U55" s="28"/>
      <c r="V55" s="28"/>
      <c r="W55" s="28"/>
      <c r="X55" s="28"/>
      <c r="Y55" s="28"/>
      <c r="Z55" s="28"/>
      <c r="AA55" s="28"/>
      <c r="AC55" s="28"/>
      <c r="AG55" s="28"/>
      <c r="AH55" s="28"/>
      <c r="AI55" s="28"/>
      <c r="AM55" s="247" t="s">
        <v>287</v>
      </c>
    </row>
    <row r="56" spans="1:42" x14ac:dyDescent="0.25">
      <c r="A56" s="16" t="s">
        <v>12</v>
      </c>
      <c r="B56" s="171">
        <v>4</v>
      </c>
      <c r="C56" s="172">
        <v>3</v>
      </c>
      <c r="D56" s="96">
        <v>5</v>
      </c>
      <c r="E56" s="21">
        <v>95</v>
      </c>
      <c r="F56" s="316"/>
      <c r="G56" s="21"/>
      <c r="H56" s="21"/>
      <c r="I56" s="297">
        <v>43892</v>
      </c>
      <c r="J56" s="298">
        <f t="shared" ref="J56:P56" si="0">I56+HLOOKUP(I56+1, $B$55:$H$56,2,TRUE)</f>
        <v>43896</v>
      </c>
      <c r="K56" s="298">
        <f t="shared" si="0"/>
        <v>43900</v>
      </c>
      <c r="L56" s="298">
        <f t="shared" si="0"/>
        <v>43904</v>
      </c>
      <c r="M56" s="298">
        <f t="shared" si="0"/>
        <v>43908</v>
      </c>
      <c r="N56" s="299">
        <f t="shared" si="0"/>
        <v>43911</v>
      </c>
      <c r="O56" s="299">
        <f t="shared" si="0"/>
        <v>43914</v>
      </c>
      <c r="P56" s="300">
        <f t="shared" si="0"/>
        <v>43919</v>
      </c>
      <c r="Q56" s="301">
        <f>$P$56+(($V$56-$P$56)*0.11)</f>
        <v>43929.45</v>
      </c>
      <c r="R56" s="301">
        <f>$P$56+(($V$56-$P$56)*0.23)</f>
        <v>43940.85</v>
      </c>
      <c r="S56" s="301">
        <f>$P$56+(($V$56-$P$56)*0.5)</f>
        <v>43966.5</v>
      </c>
      <c r="T56" s="301">
        <f>$P$56+(($V$56-$P$56)*0.87)</f>
        <v>44001.65</v>
      </c>
      <c r="U56" s="301">
        <f>$P$56+(($V$56-$P$56)*0.97)</f>
        <v>44011.15</v>
      </c>
      <c r="V56" s="304">
        <f>P56+HLOOKUP(P56+1, $B$55:$H$56,2,TRUE)</f>
        <v>44014</v>
      </c>
      <c r="W56" s="303">
        <f>$V$56+(($AA$56-$V$56)*0.2)</f>
        <v>44033</v>
      </c>
      <c r="X56" s="303">
        <f>$V$56+(($AA$56-$V$56)*0.4)</f>
        <v>44052</v>
      </c>
      <c r="Y56" s="303">
        <f>$V$56+(($AA$56-$V$56)*0.6)</f>
        <v>44071</v>
      </c>
      <c r="Z56" s="303">
        <f>$V$56+(($AA$56-$V$56)*0.8)</f>
        <v>44090</v>
      </c>
      <c r="AA56" s="279">
        <f>V56+HLOOKUP(V56+1, $B$55:$H$56,2,TRUE)</f>
        <v>44109</v>
      </c>
      <c r="AB56" s="279">
        <f t="shared" ref="AB56:AL56" si="1">AA56+HLOOKUP(AA56+1, $B$55:$H$56,2,TRUE)</f>
        <v>44204</v>
      </c>
      <c r="AC56" s="279">
        <f t="shared" si="1"/>
        <v>44299</v>
      </c>
      <c r="AD56" s="279">
        <f t="shared" si="1"/>
        <v>44394</v>
      </c>
      <c r="AE56" s="279">
        <f t="shared" si="1"/>
        <v>44489</v>
      </c>
      <c r="AF56" s="279">
        <f t="shared" si="1"/>
        <v>44584</v>
      </c>
      <c r="AG56" s="279">
        <f t="shared" si="1"/>
        <v>44679</v>
      </c>
      <c r="AH56" s="279">
        <f t="shared" si="1"/>
        <v>44774</v>
      </c>
      <c r="AI56" s="279">
        <f t="shared" si="1"/>
        <v>44869</v>
      </c>
      <c r="AJ56" s="280">
        <f t="shared" si="1"/>
        <v>44964</v>
      </c>
      <c r="AK56" s="281">
        <f t="shared" si="1"/>
        <v>45059</v>
      </c>
      <c r="AL56" s="282">
        <f t="shared" si="1"/>
        <v>45154</v>
      </c>
      <c r="AM56" s="248">
        <f>AL56+(7*8)</f>
        <v>45210</v>
      </c>
      <c r="AN56" s="82"/>
      <c r="AO56" s="82"/>
      <c r="AP56" s="81"/>
    </row>
    <row r="57" spans="1:42" x14ac:dyDescent="0.25">
      <c r="A57" s="53" t="s">
        <v>207</v>
      </c>
      <c r="B57" s="28"/>
      <c r="C57" s="28"/>
      <c r="D57" s="28"/>
      <c r="E57" s="28"/>
      <c r="F57" s="28"/>
      <c r="G57" s="28"/>
      <c r="H57" s="28"/>
      <c r="I57" s="274">
        <v>31.25</v>
      </c>
      <c r="J57" s="275">
        <f>I57*2</f>
        <v>62.5</v>
      </c>
      <c r="K57" s="275">
        <f t="shared" ref="K57:AH57" si="2">J57*2</f>
        <v>125</v>
      </c>
      <c r="L57" s="275">
        <f t="shared" si="2"/>
        <v>250</v>
      </c>
      <c r="M57" s="276">
        <f t="shared" si="2"/>
        <v>500</v>
      </c>
      <c r="N57" s="277">
        <f t="shared" si="2"/>
        <v>1000</v>
      </c>
      <c r="O57" s="275">
        <f t="shared" si="2"/>
        <v>2000</v>
      </c>
      <c r="P57" s="275">
        <f t="shared" si="2"/>
        <v>4000</v>
      </c>
      <c r="Q57" s="277">
        <f>$P$57+(($V$57-$P$57)*0.5)</f>
        <v>6000</v>
      </c>
      <c r="R57" s="275">
        <f>$P$57+(($V$57-$P$57)*0.65)</f>
        <v>6600</v>
      </c>
      <c r="S57" s="275">
        <f>$P$57+(($V$57-$P$57)*0.75)</f>
        <v>7000</v>
      </c>
      <c r="T57" s="275">
        <f>$P$57+(($V$57-$P$57)*0.85)</f>
        <v>7400</v>
      </c>
      <c r="U57" s="275">
        <f>$P$57+(($V$57-$P$57)*0.95)</f>
        <v>7800</v>
      </c>
      <c r="V57" s="312">
        <f>P57*2</f>
        <v>8000</v>
      </c>
      <c r="W57" s="275">
        <f>$V$57+(($AB$57-$V$57)*0.2)</f>
        <v>12800</v>
      </c>
      <c r="X57" s="275">
        <f>$V$57+(($AB$57-$V$57)*0.4)</f>
        <v>17600</v>
      </c>
      <c r="Y57" s="275">
        <f>$V$57+(($AB$57-$V$57)*0.6)</f>
        <v>22400</v>
      </c>
      <c r="Z57" s="275">
        <f>$V$57+(($AB$57-$V$57)*0.8)</f>
        <v>27200</v>
      </c>
      <c r="AA57" s="275">
        <f>V57*2</f>
        <v>16000</v>
      </c>
      <c r="AB57" s="275">
        <f>AA57*2</f>
        <v>32000</v>
      </c>
      <c r="AC57" s="275">
        <f>AB57*2</f>
        <v>64000</v>
      </c>
      <c r="AD57" s="275">
        <f>AC57*2</f>
        <v>128000</v>
      </c>
      <c r="AE57" s="275">
        <f t="shared" si="2"/>
        <v>256000</v>
      </c>
      <c r="AF57" s="275">
        <f t="shared" si="2"/>
        <v>512000</v>
      </c>
      <c r="AG57" s="275">
        <f t="shared" si="2"/>
        <v>1024000</v>
      </c>
      <c r="AH57" s="275">
        <f t="shared" si="2"/>
        <v>2048000</v>
      </c>
      <c r="AI57" s="275">
        <f>AH57*2</f>
        <v>4096000</v>
      </c>
      <c r="AJ57" s="276">
        <f>AI57*2</f>
        <v>8192000</v>
      </c>
      <c r="AK57" s="265">
        <f>AJ57*2</f>
        <v>16384000</v>
      </c>
      <c r="AL57" s="222">
        <f>B43</f>
        <v>25634000</v>
      </c>
      <c r="AM57" s="241">
        <f>B43*AM58</f>
        <v>5126800</v>
      </c>
      <c r="AN57" s="57"/>
      <c r="AO57" s="57"/>
      <c r="AP57" s="81"/>
    </row>
    <row r="58" spans="1:42" x14ac:dyDescent="0.25">
      <c r="A58" s="53" t="s">
        <v>208</v>
      </c>
      <c r="B58" s="28"/>
      <c r="C58" s="28"/>
      <c r="D58" s="28"/>
      <c r="E58" s="28"/>
      <c r="F58" s="28"/>
      <c r="G58" s="28"/>
      <c r="H58" s="28"/>
      <c r="I58" s="210">
        <f t="shared" ref="I58:AH58" si="3">I57/$B$43</f>
        <v>1.2190840290239525E-6</v>
      </c>
      <c r="J58" s="211">
        <f t="shared" si="3"/>
        <v>2.438168058047905E-6</v>
      </c>
      <c r="K58" s="78">
        <f t="shared" si="3"/>
        <v>4.87633611609581E-6</v>
      </c>
      <c r="L58" s="48">
        <f t="shared" si="3"/>
        <v>9.7526722321916199E-6</v>
      </c>
      <c r="M58" s="209">
        <f t="shared" si="3"/>
        <v>1.950534446438324E-5</v>
      </c>
      <c r="N58" s="101">
        <f t="shared" si="3"/>
        <v>3.901068892876648E-5</v>
      </c>
      <c r="O58" s="48">
        <f t="shared" si="3"/>
        <v>7.8021377857532959E-5</v>
      </c>
      <c r="P58" s="48">
        <f t="shared" si="3"/>
        <v>1.5604275571506592E-4</v>
      </c>
      <c r="Q58" s="101">
        <f t="shared" ref="Q58:U58" si="4">Q57/$B$43</f>
        <v>2.3406413357259889E-4</v>
      </c>
      <c r="R58" s="48">
        <f t="shared" si="4"/>
        <v>2.5747054692985876E-4</v>
      </c>
      <c r="S58" s="48">
        <f t="shared" ref="S58:T58" si="5">S57/$B$43</f>
        <v>2.7307482250136535E-4</v>
      </c>
      <c r="T58" s="48">
        <f t="shared" si="5"/>
        <v>2.8867909807287195E-4</v>
      </c>
      <c r="U58" s="48">
        <f t="shared" si="4"/>
        <v>3.0428337364437854E-4</v>
      </c>
      <c r="V58" s="313">
        <f t="shared" si="3"/>
        <v>3.1208551143013184E-4</v>
      </c>
      <c r="W58" s="26">
        <f t="shared" si="3"/>
        <v>4.9933681828821092E-4</v>
      </c>
      <c r="X58" s="26">
        <f t="shared" si="3"/>
        <v>6.8658812514629005E-4</v>
      </c>
      <c r="Y58" s="26">
        <f t="shared" si="3"/>
        <v>8.7383943200436919E-4</v>
      </c>
      <c r="Z58" s="26">
        <f t="shared" si="3"/>
        <v>1.0610907388624482E-3</v>
      </c>
      <c r="AA58" s="26">
        <f>AA57/$B$43</f>
        <v>6.2417102286026367E-4</v>
      </c>
      <c r="AB58" s="26">
        <f>AB57/$B$43</f>
        <v>1.2483420457205273E-3</v>
      </c>
      <c r="AC58" s="26">
        <f>AC57/$B$43</f>
        <v>2.4966840914410547E-3</v>
      </c>
      <c r="AD58" s="27">
        <f>AD57/$B$43</f>
        <v>4.9933681828821094E-3</v>
      </c>
      <c r="AE58" s="87">
        <f t="shared" si="3"/>
        <v>9.9867363657642188E-3</v>
      </c>
      <c r="AF58" s="87">
        <f t="shared" si="3"/>
        <v>1.9973472731528438E-2</v>
      </c>
      <c r="AG58" s="87">
        <f t="shared" si="3"/>
        <v>3.9946945463056875E-2</v>
      </c>
      <c r="AH58" s="87">
        <f t="shared" si="3"/>
        <v>7.989389092611375E-2</v>
      </c>
      <c r="AI58" s="87">
        <f>AI57/$B$43</f>
        <v>0.1597877818522275</v>
      </c>
      <c r="AJ58" s="269">
        <f>AJ57/$B$43</f>
        <v>0.319575563704455</v>
      </c>
      <c r="AK58" s="266">
        <f>AK57/$B$43</f>
        <v>0.63915112740891</v>
      </c>
      <c r="AL58" s="193">
        <f>AL57/$B$43</f>
        <v>1</v>
      </c>
      <c r="AM58" s="242">
        <f>B46</f>
        <v>0.2</v>
      </c>
      <c r="AN58" s="37"/>
      <c r="AO58" s="37"/>
      <c r="AP58" s="81"/>
    </row>
    <row r="59" spans="1:42" x14ac:dyDescent="0.25">
      <c r="A59" s="53" t="s">
        <v>261</v>
      </c>
      <c r="B59" s="28"/>
      <c r="C59" s="28"/>
      <c r="D59" s="28"/>
      <c r="E59" s="28"/>
      <c r="F59" s="28"/>
      <c r="G59" s="28"/>
      <c r="H59" s="28"/>
      <c r="I59" s="252">
        <f t="shared" ref="I59:AA59" si="6">MAX(I57-(I65-I66)-(I67-I68)-(I69-I70),0)</f>
        <v>23.164089590657923</v>
      </c>
      <c r="J59" s="253">
        <f t="shared" si="6"/>
        <v>50.699712342982444</v>
      </c>
      <c r="K59" s="253">
        <f t="shared" si="6"/>
        <v>107.77908340074089</v>
      </c>
      <c r="L59" s="253">
        <f t="shared" si="6"/>
        <v>224.86841192873166</v>
      </c>
      <c r="M59" s="254">
        <f t="shared" si="6"/>
        <v>464.13626956465896</v>
      </c>
      <c r="N59" s="252">
        <f t="shared" si="6"/>
        <v>933.37965322963009</v>
      </c>
      <c r="O59" s="253">
        <f t="shared" si="6"/>
        <v>1895.6439393939395</v>
      </c>
      <c r="P59" s="253">
        <f t="shared" si="6"/>
        <v>3736.0594121267809</v>
      </c>
      <c r="Q59" s="252">
        <f t="shared" ref="Q59:U59" si="7">MAX(Q57-(Q65-Q66)-(Q67-Q68)-(Q69-Q70),0)</f>
        <v>3241.4487088079591</v>
      </c>
      <c r="R59" s="253">
        <f t="shared" si="7"/>
        <v>40.569720158802966</v>
      </c>
      <c r="S59" s="253">
        <f t="shared" ref="S59:T59" si="8">MAX(S57-(S65-S66)-(S67-S68)-(S69-S70),0)</f>
        <v>0</v>
      </c>
      <c r="T59" s="253">
        <f t="shared" si="8"/>
        <v>0</v>
      </c>
      <c r="U59" s="253">
        <f t="shared" si="7"/>
        <v>0</v>
      </c>
      <c r="V59" s="254">
        <f>MAX(V57-(V65-V66)-(V67-V68)-(V69-V70),0)</f>
        <v>0</v>
      </c>
      <c r="W59" s="253">
        <f t="shared" ref="W59:Z59" si="9">MAX(W57-(W65-W66)-(W67-W68)-(W69-W70),0)</f>
        <v>2745.4264645661292</v>
      </c>
      <c r="X59" s="253">
        <f t="shared" si="9"/>
        <v>2844.6996576182592</v>
      </c>
      <c r="Y59" s="253">
        <f t="shared" si="9"/>
        <v>2389.9024015037194</v>
      </c>
      <c r="Z59" s="253">
        <f t="shared" si="9"/>
        <v>1880.1370954076369</v>
      </c>
      <c r="AA59" s="253">
        <f t="shared" si="6"/>
        <v>0</v>
      </c>
      <c r="AB59" s="253">
        <f>MAX(AB57-(AB65-AB66)-(AB67-AB68)-(AB69-AB70),0)</f>
        <v>0</v>
      </c>
      <c r="AC59" s="253">
        <f t="shared" ref="AC59:AL59" si="10">MAX(AC57-(AC65-AC66)-(AC67-AC68)-(AC69-AC70),0)</f>
        <v>0</v>
      </c>
      <c r="AD59" s="253">
        <f t="shared" si="10"/>
        <v>0</v>
      </c>
      <c r="AE59" s="253">
        <f t="shared" si="10"/>
        <v>0</v>
      </c>
      <c r="AF59" s="253">
        <f t="shared" si="10"/>
        <v>0</v>
      </c>
      <c r="AG59" s="253">
        <f t="shared" si="10"/>
        <v>0</v>
      </c>
      <c r="AH59" s="253">
        <f t="shared" si="10"/>
        <v>0</v>
      </c>
      <c r="AI59" s="253">
        <f t="shared" si="10"/>
        <v>0</v>
      </c>
      <c r="AJ59" s="254">
        <f t="shared" si="10"/>
        <v>0</v>
      </c>
      <c r="AK59" s="267">
        <f t="shared" si="10"/>
        <v>0</v>
      </c>
      <c r="AL59" s="215">
        <f t="shared" si="10"/>
        <v>0</v>
      </c>
      <c r="AM59" s="243"/>
      <c r="AN59" s="57"/>
      <c r="AO59" s="57"/>
      <c r="AP59" s="81"/>
    </row>
    <row r="60" spans="1:42" x14ac:dyDescent="0.25">
      <c r="A60" s="53" t="s">
        <v>282</v>
      </c>
      <c r="B60" s="28"/>
      <c r="C60" s="28"/>
      <c r="D60" s="28"/>
      <c r="E60" s="28"/>
      <c r="F60" s="28"/>
      <c r="G60" s="28"/>
      <c r="H60" s="28"/>
      <c r="I60" s="98">
        <f>I57-I59</f>
        <v>8.0859104093420768</v>
      </c>
      <c r="J60" s="99">
        <f t="shared" ref="J60:AL60" si="11">J57-J59</f>
        <v>11.800287657017556</v>
      </c>
      <c r="K60" s="99">
        <f t="shared" si="11"/>
        <v>17.220916599259112</v>
      </c>
      <c r="L60" s="99">
        <f t="shared" si="11"/>
        <v>25.131588071268339</v>
      </c>
      <c r="M60" s="136">
        <f t="shared" si="11"/>
        <v>35.86373043534104</v>
      </c>
      <c r="N60" s="270">
        <f t="shared" si="11"/>
        <v>66.620346770369906</v>
      </c>
      <c r="O60" s="135">
        <f t="shared" si="11"/>
        <v>104.35606060606051</v>
      </c>
      <c r="P60" s="135">
        <f t="shared" si="11"/>
        <v>263.9405878732191</v>
      </c>
      <c r="Q60" s="306">
        <f t="shared" ref="Q60:U60" si="12">Q57-Q59</f>
        <v>2758.5512911920409</v>
      </c>
      <c r="R60" s="305">
        <f t="shared" si="12"/>
        <v>6559.4302798411973</v>
      </c>
      <c r="S60" s="305">
        <f t="shared" ref="S60:T60" si="13">S57-S59</f>
        <v>7000</v>
      </c>
      <c r="T60" s="305">
        <f t="shared" si="13"/>
        <v>7400</v>
      </c>
      <c r="U60" s="305">
        <f t="shared" si="12"/>
        <v>7800</v>
      </c>
      <c r="V60" s="136">
        <f>V57-V59</f>
        <v>8000</v>
      </c>
      <c r="W60" s="135">
        <f t="shared" ref="W60:Z60" si="14">W57-W59</f>
        <v>10054.57353543387</v>
      </c>
      <c r="X60" s="135">
        <f t="shared" si="14"/>
        <v>14755.300342381741</v>
      </c>
      <c r="Y60" s="135">
        <f t="shared" si="14"/>
        <v>20010.097598496279</v>
      </c>
      <c r="Z60" s="135">
        <f t="shared" si="14"/>
        <v>25319.862904592363</v>
      </c>
      <c r="AA60" s="135">
        <f t="shared" si="11"/>
        <v>16000</v>
      </c>
      <c r="AB60" s="135">
        <f t="shared" si="11"/>
        <v>32000</v>
      </c>
      <c r="AC60" s="135">
        <f t="shared" si="11"/>
        <v>64000</v>
      </c>
      <c r="AD60" s="135">
        <f t="shared" si="11"/>
        <v>128000</v>
      </c>
      <c r="AE60" s="135">
        <f t="shared" si="11"/>
        <v>256000</v>
      </c>
      <c r="AF60" s="135">
        <f t="shared" si="11"/>
        <v>512000</v>
      </c>
      <c r="AG60" s="135">
        <f t="shared" si="11"/>
        <v>1024000</v>
      </c>
      <c r="AH60" s="135">
        <f t="shared" si="11"/>
        <v>2048000</v>
      </c>
      <c r="AI60" s="135">
        <f t="shared" si="11"/>
        <v>4096000</v>
      </c>
      <c r="AJ60" s="136">
        <f t="shared" si="11"/>
        <v>8192000</v>
      </c>
      <c r="AK60" s="235">
        <f t="shared" si="11"/>
        <v>16384000</v>
      </c>
      <c r="AL60" s="234">
        <f t="shared" si="11"/>
        <v>25634000</v>
      </c>
      <c r="AM60" s="244"/>
      <c r="AN60" s="37"/>
      <c r="AO60" s="37"/>
      <c r="AP60" s="81"/>
    </row>
    <row r="61" spans="1:42" x14ac:dyDescent="0.25">
      <c r="A61" s="16" t="s">
        <v>274</v>
      </c>
      <c r="B61" s="21"/>
      <c r="C61" s="21"/>
      <c r="D61" s="21"/>
      <c r="E61" s="21"/>
      <c r="F61" s="21"/>
      <c r="G61" s="21"/>
      <c r="H61" s="21"/>
      <c r="I61" s="231">
        <f t="shared" ref="I61:AJ61" si="15">I57/$B$45</f>
        <v>31.25</v>
      </c>
      <c r="J61" s="232">
        <f t="shared" si="15"/>
        <v>62.5</v>
      </c>
      <c r="K61" s="232">
        <f t="shared" si="15"/>
        <v>125</v>
      </c>
      <c r="L61" s="232">
        <f t="shared" si="15"/>
        <v>250</v>
      </c>
      <c r="M61" s="232">
        <f t="shared" si="15"/>
        <v>500</v>
      </c>
      <c r="N61" s="231">
        <f t="shared" si="15"/>
        <v>1000</v>
      </c>
      <c r="O61" s="232">
        <f t="shared" si="15"/>
        <v>2000</v>
      </c>
      <c r="P61" s="232">
        <f t="shared" si="15"/>
        <v>4000</v>
      </c>
      <c r="Q61" s="231">
        <f t="shared" ref="Q61:R61" si="16">Q57/$B$45</f>
        <v>6000</v>
      </c>
      <c r="R61" s="232">
        <f t="shared" si="16"/>
        <v>6600</v>
      </c>
      <c r="S61" s="232">
        <f t="shared" ref="S61:T61" si="17">S57/$B$45</f>
        <v>7000</v>
      </c>
      <c r="T61" s="232">
        <f t="shared" si="17"/>
        <v>7400</v>
      </c>
      <c r="U61" s="232">
        <f>U57/$B$45</f>
        <v>7800</v>
      </c>
      <c r="V61" s="240">
        <f t="shared" si="15"/>
        <v>8000</v>
      </c>
      <c r="W61" s="232">
        <f t="shared" ref="W61:Z61" si="18">W57/$B$45</f>
        <v>12800</v>
      </c>
      <c r="X61" s="232">
        <f t="shared" si="18"/>
        <v>17600</v>
      </c>
      <c r="Y61" s="232">
        <f t="shared" si="18"/>
        <v>22400</v>
      </c>
      <c r="Z61" s="232">
        <f t="shared" si="18"/>
        <v>27200</v>
      </c>
      <c r="AA61" s="232">
        <f t="shared" si="15"/>
        <v>16000</v>
      </c>
      <c r="AB61" s="232">
        <f t="shared" si="15"/>
        <v>32000</v>
      </c>
      <c r="AC61" s="232">
        <f t="shared" si="15"/>
        <v>64000</v>
      </c>
      <c r="AD61" s="232">
        <f t="shared" si="15"/>
        <v>128000</v>
      </c>
      <c r="AE61" s="232">
        <f t="shared" si="15"/>
        <v>256000</v>
      </c>
      <c r="AF61" s="232">
        <f t="shared" si="15"/>
        <v>512000</v>
      </c>
      <c r="AG61" s="232">
        <f t="shared" si="15"/>
        <v>1024000</v>
      </c>
      <c r="AH61" s="232">
        <f t="shared" si="15"/>
        <v>2048000</v>
      </c>
      <c r="AI61" s="232">
        <f t="shared" si="15"/>
        <v>4096000</v>
      </c>
      <c r="AJ61" s="240">
        <f t="shared" si="15"/>
        <v>8192000</v>
      </c>
      <c r="AK61" s="267">
        <f>AK57/$B$45</f>
        <v>16384000</v>
      </c>
      <c r="AL61" s="215">
        <f>AL57</f>
        <v>25634000</v>
      </c>
      <c r="AM61" s="243">
        <f>($B$43*$B$46)/$B$45</f>
        <v>5126800</v>
      </c>
      <c r="AN61" s="37"/>
      <c r="AO61" s="37"/>
      <c r="AP61" s="81"/>
    </row>
    <row r="62" spans="1:42" x14ac:dyDescent="0.25">
      <c r="A62" s="53" t="s">
        <v>212</v>
      </c>
      <c r="B62" s="28"/>
      <c r="C62" s="28"/>
      <c r="D62" s="28"/>
      <c r="E62" s="28"/>
      <c r="F62" s="28"/>
      <c r="G62" s="28"/>
      <c r="H62" s="28"/>
      <c r="I62" s="210">
        <f>I61/$B$43</f>
        <v>1.2190840290239525E-6</v>
      </c>
      <c r="J62" s="78">
        <f t="shared" ref="J62:AJ62" si="19">J61/$B$43</f>
        <v>2.438168058047905E-6</v>
      </c>
      <c r="K62" s="78">
        <f t="shared" si="19"/>
        <v>4.87633611609581E-6</v>
      </c>
      <c r="L62" s="48">
        <f t="shared" si="19"/>
        <v>9.7526722321916199E-6</v>
      </c>
      <c r="M62" s="48">
        <f t="shared" si="19"/>
        <v>1.950534446438324E-5</v>
      </c>
      <c r="N62" s="101">
        <f t="shared" si="19"/>
        <v>3.901068892876648E-5</v>
      </c>
      <c r="O62" s="48">
        <f t="shared" si="19"/>
        <v>7.8021377857532959E-5</v>
      </c>
      <c r="P62" s="26">
        <f t="shared" si="19"/>
        <v>1.5604275571506592E-4</v>
      </c>
      <c r="Q62" s="18">
        <f t="shared" ref="Q62:U62" si="20">Q61/$B$43</f>
        <v>2.3406413357259889E-4</v>
      </c>
      <c r="R62" s="26">
        <f t="shared" si="20"/>
        <v>2.5747054692985876E-4</v>
      </c>
      <c r="S62" s="26">
        <f t="shared" ref="S62:T62" si="21">S61/$B$43</f>
        <v>2.7307482250136535E-4</v>
      </c>
      <c r="T62" s="26">
        <f t="shared" si="21"/>
        <v>2.8867909807287195E-4</v>
      </c>
      <c r="U62" s="26">
        <f t="shared" si="20"/>
        <v>3.0428337364437854E-4</v>
      </c>
      <c r="V62" s="307">
        <f t="shared" si="19"/>
        <v>3.1208551143013184E-4</v>
      </c>
      <c r="W62" s="27">
        <f t="shared" ref="W62:Z62" si="22">W61/$B$43</f>
        <v>4.9933681828821092E-4</v>
      </c>
      <c r="X62" s="27">
        <f t="shared" si="22"/>
        <v>6.8658812514629005E-4</v>
      </c>
      <c r="Y62" s="27">
        <f t="shared" si="22"/>
        <v>8.7383943200436919E-4</v>
      </c>
      <c r="Z62" s="27">
        <f t="shared" si="22"/>
        <v>1.0610907388624482E-3</v>
      </c>
      <c r="AA62" s="27">
        <f t="shared" si="19"/>
        <v>6.2417102286026367E-4</v>
      </c>
      <c r="AB62" s="27">
        <f t="shared" si="19"/>
        <v>1.2483420457205273E-3</v>
      </c>
      <c r="AC62" s="27">
        <f t="shared" si="19"/>
        <v>2.4966840914410547E-3</v>
      </c>
      <c r="AD62" s="27">
        <f t="shared" si="19"/>
        <v>4.9933681828821094E-3</v>
      </c>
      <c r="AE62" s="87">
        <f t="shared" si="19"/>
        <v>9.9867363657642188E-3</v>
      </c>
      <c r="AF62" s="87">
        <f t="shared" si="19"/>
        <v>1.9973472731528438E-2</v>
      </c>
      <c r="AG62" s="87">
        <f t="shared" si="19"/>
        <v>3.9946945463056875E-2</v>
      </c>
      <c r="AH62" s="87">
        <f t="shared" si="19"/>
        <v>7.989389092611375E-2</v>
      </c>
      <c r="AI62" s="87">
        <f t="shared" si="19"/>
        <v>0.1597877818522275</v>
      </c>
      <c r="AJ62" s="269">
        <f t="shared" si="19"/>
        <v>0.319575563704455</v>
      </c>
      <c r="AK62" s="266">
        <f>AK61/$B$43</f>
        <v>0.63915112740891</v>
      </c>
      <c r="AL62" s="193">
        <v>1</v>
      </c>
      <c r="AM62" s="242">
        <f>AM61/B43</f>
        <v>0.2</v>
      </c>
      <c r="AN62" s="37"/>
      <c r="AO62" s="37"/>
      <c r="AP62" s="81"/>
    </row>
    <row r="63" spans="1:42" x14ac:dyDescent="0.25">
      <c r="A63" s="53" t="s">
        <v>272</v>
      </c>
      <c r="B63" s="28"/>
      <c r="C63" s="28"/>
      <c r="D63" s="28"/>
      <c r="E63" s="28"/>
      <c r="F63" s="28"/>
      <c r="G63" s="28"/>
      <c r="H63" s="28"/>
      <c r="I63" s="212">
        <f t="shared" ref="I63:AJ63" si="23">I61-I57</f>
        <v>0</v>
      </c>
      <c r="J63" s="213">
        <f t="shared" si="23"/>
        <v>0</v>
      </c>
      <c r="K63" s="213">
        <f t="shared" si="23"/>
        <v>0</v>
      </c>
      <c r="L63" s="213">
        <f t="shared" si="23"/>
        <v>0</v>
      </c>
      <c r="M63" s="213">
        <f t="shared" si="23"/>
        <v>0</v>
      </c>
      <c r="N63" s="212">
        <f t="shared" si="23"/>
        <v>0</v>
      </c>
      <c r="O63" s="213">
        <f t="shared" si="23"/>
        <v>0</v>
      </c>
      <c r="P63" s="213">
        <f t="shared" si="23"/>
        <v>0</v>
      </c>
      <c r="Q63" s="212">
        <f t="shared" ref="Q63:R63" si="24">Q61-Q57</f>
        <v>0</v>
      </c>
      <c r="R63" s="213">
        <f t="shared" si="24"/>
        <v>0</v>
      </c>
      <c r="S63" s="213">
        <f t="shared" ref="S63:T63" si="25">S61-S57</f>
        <v>0</v>
      </c>
      <c r="T63" s="213">
        <f t="shared" si="25"/>
        <v>0</v>
      </c>
      <c r="U63" s="213">
        <f>U61-U57</f>
        <v>0</v>
      </c>
      <c r="V63" s="214">
        <f t="shared" si="23"/>
        <v>0</v>
      </c>
      <c r="W63" s="213">
        <f t="shared" ref="W63:Z63" si="26">W61-W57</f>
        <v>0</v>
      </c>
      <c r="X63" s="213">
        <f t="shared" si="26"/>
        <v>0</v>
      </c>
      <c r="Y63" s="213">
        <f t="shared" si="26"/>
        <v>0</v>
      </c>
      <c r="Z63" s="213">
        <f t="shared" si="26"/>
        <v>0</v>
      </c>
      <c r="AA63" s="213">
        <f t="shared" si="23"/>
        <v>0</v>
      </c>
      <c r="AB63" s="213">
        <f t="shared" si="23"/>
        <v>0</v>
      </c>
      <c r="AC63" s="213">
        <f t="shared" si="23"/>
        <v>0</v>
      </c>
      <c r="AD63" s="213">
        <f>AD61-AD57</f>
        <v>0</v>
      </c>
      <c r="AE63" s="213">
        <f t="shared" si="23"/>
        <v>0</v>
      </c>
      <c r="AF63" s="213">
        <f t="shared" si="23"/>
        <v>0</v>
      </c>
      <c r="AG63" s="213">
        <f t="shared" si="23"/>
        <v>0</v>
      </c>
      <c r="AH63" s="213">
        <f t="shared" si="23"/>
        <v>0</v>
      </c>
      <c r="AI63" s="213">
        <f t="shared" si="23"/>
        <v>0</v>
      </c>
      <c r="AJ63" s="214">
        <f t="shared" si="23"/>
        <v>0</v>
      </c>
      <c r="AK63" s="267">
        <f>AK61</f>
        <v>16384000</v>
      </c>
      <c r="AL63" s="215">
        <f>AL61</f>
        <v>25634000</v>
      </c>
      <c r="AM63" s="245">
        <f>AM61-AM57</f>
        <v>0</v>
      </c>
      <c r="AN63" s="37"/>
      <c r="AO63" s="37"/>
      <c r="AP63" s="81"/>
    </row>
    <row r="64" spans="1:42" x14ac:dyDescent="0.25">
      <c r="A64" s="49" t="s">
        <v>273</v>
      </c>
      <c r="B64" s="51"/>
      <c r="C64" s="51"/>
      <c r="D64" s="51"/>
      <c r="E64" s="51"/>
      <c r="F64" s="51"/>
      <c r="G64" s="51"/>
      <c r="H64" s="51"/>
      <c r="I64" s="216">
        <f>MIN((1/$B$45)*(2^(((I56 - 14) - $B$53)/$I$82)),I63)</f>
        <v>0</v>
      </c>
      <c r="J64" s="217">
        <f>MIN((1/$B$45)*(2^(((J56 - 14) - $B$53)/$I$82)),J63)</f>
        <v>0</v>
      </c>
      <c r="K64" s="217">
        <f>MIN((1/$B$45)*(2^(((K56 - 14) - $B$53)/$I$82)),K63)</f>
        <v>0</v>
      </c>
      <c r="L64" s="217">
        <f>MIN((1/$B$45)*(2^(((L56 - 14) - $B$53)/$I$82)),L63)</f>
        <v>0</v>
      </c>
      <c r="M64" s="219">
        <f t="shared" ref="M64:AL64" si="27">MIN(($I$57/$B$45)*(2^(((M56 - 14) - $I$56)/HLOOKUP((M56-14)-$B$53,$I$80:$AM$82,3,TRUE))),M63)</f>
        <v>0</v>
      </c>
      <c r="N64" s="220">
        <f t="shared" si="27"/>
        <v>0</v>
      </c>
      <c r="O64" s="219">
        <f t="shared" si="27"/>
        <v>0</v>
      </c>
      <c r="P64" s="219">
        <f t="shared" si="27"/>
        <v>0</v>
      </c>
      <c r="Q64" s="220">
        <f t="shared" si="27"/>
        <v>0</v>
      </c>
      <c r="R64" s="219">
        <f t="shared" si="27"/>
        <v>0</v>
      </c>
      <c r="S64" s="219">
        <f t="shared" si="27"/>
        <v>0</v>
      </c>
      <c r="T64" s="219">
        <f t="shared" si="27"/>
        <v>0</v>
      </c>
      <c r="U64" s="219">
        <f t="shared" si="27"/>
        <v>0</v>
      </c>
      <c r="V64" s="218">
        <f t="shared" si="27"/>
        <v>0</v>
      </c>
      <c r="W64" s="219">
        <f t="shared" si="27"/>
        <v>0</v>
      </c>
      <c r="X64" s="219">
        <f t="shared" si="27"/>
        <v>0</v>
      </c>
      <c r="Y64" s="219">
        <f t="shared" si="27"/>
        <v>0</v>
      </c>
      <c r="Z64" s="219">
        <f t="shared" si="27"/>
        <v>0</v>
      </c>
      <c r="AA64" s="219">
        <f t="shared" si="27"/>
        <v>0</v>
      </c>
      <c r="AB64" s="219">
        <f t="shared" si="27"/>
        <v>0</v>
      </c>
      <c r="AC64" s="219">
        <f t="shared" si="27"/>
        <v>0</v>
      </c>
      <c r="AD64" s="219">
        <f t="shared" si="27"/>
        <v>0</v>
      </c>
      <c r="AE64" s="219">
        <f t="shared" si="27"/>
        <v>0</v>
      </c>
      <c r="AF64" s="219">
        <f t="shared" si="27"/>
        <v>0</v>
      </c>
      <c r="AG64" s="219">
        <f t="shared" si="27"/>
        <v>0</v>
      </c>
      <c r="AH64" s="219">
        <f t="shared" si="27"/>
        <v>0</v>
      </c>
      <c r="AI64" s="219">
        <f t="shared" si="27"/>
        <v>0</v>
      </c>
      <c r="AJ64" s="218">
        <f t="shared" si="27"/>
        <v>0</v>
      </c>
      <c r="AK64" s="267">
        <f t="shared" si="27"/>
        <v>16384000</v>
      </c>
      <c r="AL64" s="221">
        <f t="shared" si="27"/>
        <v>25634000</v>
      </c>
      <c r="AM64" s="245"/>
      <c r="AN64" s="37"/>
      <c r="AO64" s="37"/>
      <c r="AP64" s="81"/>
    </row>
    <row r="65" spans="1:42" x14ac:dyDescent="0.25">
      <c r="A65" s="53" t="s">
        <v>264</v>
      </c>
      <c r="B65" s="28"/>
      <c r="C65" s="28"/>
      <c r="D65" s="28"/>
      <c r="E65" s="28"/>
      <c r="F65" s="28"/>
      <c r="G65" s="28"/>
      <c r="H65" s="28"/>
      <c r="I65" s="236">
        <f t="shared" ref="I65:AL65" si="28">I57*$B$49</f>
        <v>28.75</v>
      </c>
      <c r="J65" s="237">
        <f t="shared" si="28"/>
        <v>57.5</v>
      </c>
      <c r="K65" s="237">
        <f t="shared" si="28"/>
        <v>115</v>
      </c>
      <c r="L65" s="237">
        <f t="shared" si="28"/>
        <v>230</v>
      </c>
      <c r="M65" s="237">
        <f t="shared" si="28"/>
        <v>460</v>
      </c>
      <c r="N65" s="236">
        <f t="shared" si="28"/>
        <v>920</v>
      </c>
      <c r="O65" s="237">
        <f t="shared" si="28"/>
        <v>1840</v>
      </c>
      <c r="P65" s="237">
        <f t="shared" si="28"/>
        <v>3680</v>
      </c>
      <c r="Q65" s="236">
        <f t="shared" ref="Q65:U65" si="29">Q57*$B$49</f>
        <v>5520</v>
      </c>
      <c r="R65" s="237">
        <f t="shared" si="29"/>
        <v>6072</v>
      </c>
      <c r="S65" s="237">
        <f t="shared" ref="S65:T65" si="30">S57*$B$49</f>
        <v>6440</v>
      </c>
      <c r="T65" s="237">
        <f t="shared" si="30"/>
        <v>6808</v>
      </c>
      <c r="U65" s="237">
        <f t="shared" si="29"/>
        <v>7176</v>
      </c>
      <c r="V65" s="271">
        <f t="shared" si="28"/>
        <v>7360</v>
      </c>
      <c r="W65" s="237">
        <f t="shared" ref="W65:Z65" si="31">W57*$B$49</f>
        <v>11776</v>
      </c>
      <c r="X65" s="237">
        <f t="shared" si="31"/>
        <v>16192</v>
      </c>
      <c r="Y65" s="237">
        <f t="shared" si="31"/>
        <v>20608</v>
      </c>
      <c r="Z65" s="237">
        <f t="shared" si="31"/>
        <v>25024</v>
      </c>
      <c r="AA65" s="237">
        <f t="shared" si="28"/>
        <v>14720</v>
      </c>
      <c r="AB65" s="237">
        <f t="shared" si="28"/>
        <v>29440</v>
      </c>
      <c r="AC65" s="237">
        <f t="shared" si="28"/>
        <v>58880</v>
      </c>
      <c r="AD65" s="237">
        <f t="shared" si="28"/>
        <v>117760</v>
      </c>
      <c r="AE65" s="237">
        <f t="shared" si="28"/>
        <v>235520</v>
      </c>
      <c r="AF65" s="237">
        <f t="shared" si="28"/>
        <v>471040</v>
      </c>
      <c r="AG65" s="237">
        <f t="shared" si="28"/>
        <v>942080</v>
      </c>
      <c r="AH65" s="237">
        <f t="shared" si="28"/>
        <v>1884160</v>
      </c>
      <c r="AI65" s="237">
        <f t="shared" si="28"/>
        <v>3768320</v>
      </c>
      <c r="AJ65" s="271">
        <f t="shared" si="28"/>
        <v>7536640</v>
      </c>
      <c r="AK65" s="265">
        <f t="shared" si="28"/>
        <v>15073280</v>
      </c>
      <c r="AL65" s="215">
        <f t="shared" si="28"/>
        <v>23583280</v>
      </c>
      <c r="AM65" s="245">
        <f>AM57*B49</f>
        <v>4716656</v>
      </c>
      <c r="AN65" s="37"/>
      <c r="AO65" s="37"/>
      <c r="AP65" s="81"/>
    </row>
    <row r="66" spans="1:42" x14ac:dyDescent="0.25">
      <c r="A66" s="53" t="s">
        <v>283</v>
      </c>
      <c r="B66" s="28"/>
      <c r="C66" s="28"/>
      <c r="D66" s="28"/>
      <c r="E66" s="28"/>
      <c r="F66" s="28"/>
      <c r="G66" s="28"/>
      <c r="H66" s="28"/>
      <c r="I66" s="216">
        <f>I65-(1*$B$49)*(2^(((I56 - 14) - $B$53)/$I$82))</f>
        <v>20.664089590657923</v>
      </c>
      <c r="J66" s="217">
        <f>J65-(1*$B$49)*(2^(((J56 - 14) - $B$53)/$I$82))</f>
        <v>45.699712342982444</v>
      </c>
      <c r="K66" s="217">
        <f>K65-(1*$B$49)*(2^(((K56 - 14) - $B$53)/$I$82))</f>
        <v>97.779083400740888</v>
      </c>
      <c r="L66" s="217">
        <f>L65-(1*$B$49)*(2^(((L56 - 14) - $B$53)/$I$82))</f>
        <v>204.86841192873166</v>
      </c>
      <c r="M66" s="223">
        <f t="shared" ref="M66:AL66" si="32">MAX(M65-(($I$57*$B$49)*(2^(((M56 -14) - $I$56)/HLOOKUP((M56-14)-$B$53,$I$80:$AM$82,3,TRUE)))),0)</f>
        <v>425.26880842051185</v>
      </c>
      <c r="N66" s="224">
        <f t="shared" si="32"/>
        <v>855.48345365395755</v>
      </c>
      <c r="O66" s="223">
        <f t="shared" si="32"/>
        <v>1738.939393939394</v>
      </c>
      <c r="P66" s="223">
        <f t="shared" si="32"/>
        <v>3424.3943780596196</v>
      </c>
      <c r="Q66" s="224">
        <f t="shared" si="32"/>
        <v>2848.5608548456025</v>
      </c>
      <c r="R66" s="223">
        <f t="shared" si="32"/>
        <v>0</v>
      </c>
      <c r="S66" s="223">
        <f t="shared" si="32"/>
        <v>0</v>
      </c>
      <c r="T66" s="223">
        <f t="shared" si="32"/>
        <v>0</v>
      </c>
      <c r="U66" s="223">
        <f t="shared" si="32"/>
        <v>0</v>
      </c>
      <c r="V66" s="238">
        <f t="shared" si="32"/>
        <v>0</v>
      </c>
      <c r="W66" s="223">
        <f t="shared" si="32"/>
        <v>3046.3078078110884</v>
      </c>
      <c r="X66" s="223">
        <f t="shared" si="32"/>
        <v>2415.7311276069449</v>
      </c>
      <c r="Y66" s="223">
        <f t="shared" si="32"/>
        <v>1950.4210849736264</v>
      </c>
      <c r="Z66" s="223">
        <f t="shared" si="32"/>
        <v>1610.2679048858554</v>
      </c>
      <c r="AA66" s="223">
        <f t="shared" si="32"/>
        <v>0</v>
      </c>
      <c r="AB66" s="223">
        <f t="shared" si="32"/>
        <v>0</v>
      </c>
      <c r="AC66" s="223">
        <f t="shared" si="32"/>
        <v>0</v>
      </c>
      <c r="AD66" s="223">
        <f t="shared" si="32"/>
        <v>0</v>
      </c>
      <c r="AE66" s="223">
        <f t="shared" si="32"/>
        <v>0</v>
      </c>
      <c r="AF66" s="223">
        <f t="shared" si="32"/>
        <v>0</v>
      </c>
      <c r="AG66" s="223">
        <f t="shared" si="32"/>
        <v>0</v>
      </c>
      <c r="AH66" s="223">
        <f t="shared" si="32"/>
        <v>0</v>
      </c>
      <c r="AI66" s="223">
        <f t="shared" si="32"/>
        <v>0</v>
      </c>
      <c r="AJ66" s="238">
        <f t="shared" si="32"/>
        <v>0</v>
      </c>
      <c r="AK66" s="268">
        <f t="shared" si="32"/>
        <v>0</v>
      </c>
      <c r="AL66" s="221">
        <f t="shared" si="32"/>
        <v>0</v>
      </c>
      <c r="AM66" s="243"/>
      <c r="AN66" s="37"/>
      <c r="AO66" s="37"/>
      <c r="AP66" s="81"/>
    </row>
    <row r="67" spans="1:42" x14ac:dyDescent="0.25">
      <c r="A67" s="74" t="s">
        <v>210</v>
      </c>
      <c r="B67" s="21"/>
      <c r="C67" s="21"/>
      <c r="D67" s="21"/>
      <c r="E67" s="21"/>
      <c r="F67" s="21"/>
      <c r="G67" s="21"/>
      <c r="H67" s="21"/>
      <c r="I67" s="272">
        <f>(1*($B$50+$B$51))*(2^(((I56 - 7) - $B$53)/$I$82))</f>
        <v>1.3624403770173663</v>
      </c>
      <c r="J67" s="273">
        <f>(1*($B$50+$B$51))*(2^(((J56 - 7) - $B$53)/$I$82))</f>
        <v>1.9882966234408881</v>
      </c>
      <c r="K67" s="232">
        <f t="shared" ref="K67:AK67" si="33">($I$57*($B$50+$B$51))*(2^(((K56-7)-$I$56)/HLOOKUP((K56-7)-$B$53,$I$80:$AM$82,3,TRUE)))</f>
        <v>2.7477734693782825</v>
      </c>
      <c r="L67" s="232">
        <f t="shared" si="33"/>
        <v>5.6101344648732603</v>
      </c>
      <c r="M67" s="232">
        <f t="shared" si="33"/>
        <v>10.283171151388096</v>
      </c>
      <c r="N67" s="231">
        <f t="shared" si="33"/>
        <v>18.787878787878775</v>
      </c>
      <c r="O67" s="232">
        <f t="shared" si="33"/>
        <v>31.107290494170176</v>
      </c>
      <c r="P67" s="232">
        <f t="shared" si="33"/>
        <v>97.540056745390302</v>
      </c>
      <c r="Q67" s="231">
        <f t="shared" si="33"/>
        <v>585.1670330164543</v>
      </c>
      <c r="R67" s="232">
        <f t="shared" si="33"/>
        <v>845.76568207433547</v>
      </c>
      <c r="S67" s="232">
        <f t="shared" si="33"/>
        <v>3789.2176354991007</v>
      </c>
      <c r="T67" s="302">
        <f t="shared" si="33"/>
        <v>4029.5021076192106</v>
      </c>
      <c r="U67" s="283">
        <f t="shared" si="33"/>
        <v>635.02911242086657</v>
      </c>
      <c r="V67" s="308">
        <f t="shared" si="33"/>
        <v>730.98206893792292</v>
      </c>
      <c r="W67" s="232">
        <f t="shared" si="33"/>
        <v>1040.2174674127123</v>
      </c>
      <c r="X67" s="232">
        <f t="shared" si="33"/>
        <v>1610.4624167256411</v>
      </c>
      <c r="Y67" s="232">
        <f t="shared" si="33"/>
        <v>2135.3233109561206</v>
      </c>
      <c r="Z67" s="232">
        <f t="shared" si="33"/>
        <v>2627.3081231909455</v>
      </c>
      <c r="AA67" s="232">
        <f t="shared" si="33"/>
        <v>3095.4627109692588</v>
      </c>
      <c r="AB67" s="283">
        <f t="shared" si="33"/>
        <v>14881.261426408839</v>
      </c>
      <c r="AC67" s="283">
        <f t="shared" si="33"/>
        <v>16863.999116395065</v>
      </c>
      <c r="AD67" s="283">
        <f t="shared" si="33"/>
        <v>24914.533098796557</v>
      </c>
      <c r="AE67" s="232">
        <f t="shared" si="33"/>
        <v>41279.094610393673</v>
      </c>
      <c r="AF67" s="232">
        <f t="shared" si="33"/>
        <v>72614.940234787427</v>
      </c>
      <c r="AG67" s="232">
        <f t="shared" si="33"/>
        <v>132319.71022558652</v>
      </c>
      <c r="AH67" s="232">
        <f t="shared" si="33"/>
        <v>246594.95219260352</v>
      </c>
      <c r="AI67" s="232">
        <f t="shared" si="33"/>
        <v>466606.53395851608</v>
      </c>
      <c r="AJ67" s="240">
        <f t="shared" si="33"/>
        <v>892477.18110934389</v>
      </c>
      <c r="AK67" s="265">
        <f t="shared" si="33"/>
        <v>1720596.233863757</v>
      </c>
      <c r="AL67" s="222">
        <f>($I$57*($B$50+$B$51))*(2^(((AL56 - 7) - $I$56)/AL82))</f>
        <v>1801235.1224152788</v>
      </c>
      <c r="AM67" s="243">
        <f>AM57*(B50+B51)</f>
        <v>410144</v>
      </c>
      <c r="AN67" s="57"/>
      <c r="AO67" s="57"/>
      <c r="AP67" s="81"/>
    </row>
    <row r="68" spans="1:42" x14ac:dyDescent="0.25">
      <c r="A68" s="49" t="s">
        <v>262</v>
      </c>
      <c r="B68" s="50"/>
      <c r="C68" s="51"/>
      <c r="D68" s="51"/>
      <c r="E68" s="51"/>
      <c r="F68" s="51"/>
      <c r="G68" s="51"/>
      <c r="H68" s="51"/>
      <c r="I68" s="216">
        <f t="shared" ref="I68:L68" si="34">I67</f>
        <v>1.3624403770173663</v>
      </c>
      <c r="J68" s="217">
        <f t="shared" si="34"/>
        <v>1.9882966234408881</v>
      </c>
      <c r="K68" s="219">
        <f t="shared" si="34"/>
        <v>2.7477734693782825</v>
      </c>
      <c r="L68" s="219">
        <f t="shared" si="34"/>
        <v>5.6101344648732603</v>
      </c>
      <c r="M68" s="219">
        <f>M67-M70</f>
        <v>9.1506322955352211</v>
      </c>
      <c r="N68" s="220">
        <f t="shared" ref="N68:O68" si="35">N67-N70</f>
        <v>16.684078363551301</v>
      </c>
      <c r="O68" s="219">
        <f t="shared" si="35"/>
        <v>27.811835948715633</v>
      </c>
      <c r="P68" s="219">
        <f>P67-P70</f>
        <v>89.205090812551802</v>
      </c>
      <c r="Q68" s="220">
        <f t="shared" ref="Q68" si="36">Q67-Q70</f>
        <v>499.23662585725168</v>
      </c>
      <c r="R68" s="219">
        <f t="shared" ref="R68:AL68" si="37">MAX(R67-($I$57*$B$50)*(2^(((R56 - 42) - $I$56)/HLOOKUP((R56-42)-$B$53,$I$80:$AM$82,3,TRUE)))-R70,0)</f>
        <v>367.95040512239154</v>
      </c>
      <c r="S68" s="219">
        <f t="shared" si="37"/>
        <v>2824.9896718049117</v>
      </c>
      <c r="T68" s="219">
        <f t="shared" si="37"/>
        <v>910.74797001823572</v>
      </c>
      <c r="U68" s="220">
        <f t="shared" si="37"/>
        <v>0</v>
      </c>
      <c r="V68" s="218">
        <f t="shared" si="37"/>
        <v>0</v>
      </c>
      <c r="W68" s="219">
        <f t="shared" si="37"/>
        <v>0</v>
      </c>
      <c r="X68" s="219">
        <f t="shared" si="37"/>
        <v>891.59066744536358</v>
      </c>
      <c r="Y68" s="219">
        <f t="shared" si="37"/>
        <v>1195.6105743596413</v>
      </c>
      <c r="Z68" s="219">
        <f t="shared" si="37"/>
        <v>1283.6497313354585</v>
      </c>
      <c r="AA68" s="219">
        <f t="shared" si="37"/>
        <v>1388.4719614784167</v>
      </c>
      <c r="AB68" s="219">
        <f t="shared" si="37"/>
        <v>9392.1763251242446</v>
      </c>
      <c r="AC68" s="219">
        <f t="shared" si="37"/>
        <v>9982.7534425160175</v>
      </c>
      <c r="AD68" s="219">
        <f t="shared" si="37"/>
        <v>14141.320033580138</v>
      </c>
      <c r="AE68" s="219">
        <f t="shared" si="37"/>
        <v>22746.274535500314</v>
      </c>
      <c r="AF68" s="219">
        <f t="shared" si="37"/>
        <v>39144.450258338926</v>
      </c>
      <c r="AG68" s="219">
        <f t="shared" si="37"/>
        <v>70132.278741621412</v>
      </c>
      <c r="AH68" s="219">
        <f t="shared" si="37"/>
        <v>128955.39562300226</v>
      </c>
      <c r="AI68" s="219">
        <f t="shared" si="37"/>
        <v>241356.00166000013</v>
      </c>
      <c r="AJ68" s="218">
        <f t="shared" si="37"/>
        <v>457475.16035837395</v>
      </c>
      <c r="AK68" s="268">
        <f t="shared" si="37"/>
        <v>875250.39022639673</v>
      </c>
      <c r="AL68" s="221">
        <f t="shared" si="37"/>
        <v>150693.51370738226</v>
      </c>
      <c r="AM68" s="245"/>
      <c r="AN68" s="57"/>
      <c r="AO68" s="57"/>
      <c r="AP68" s="81"/>
    </row>
    <row r="69" spans="1:42" x14ac:dyDescent="0.25">
      <c r="A69" s="60" t="s">
        <v>211</v>
      </c>
      <c r="C69" s="21"/>
      <c r="D69" s="21"/>
      <c r="E69" s="21"/>
      <c r="F69" s="21"/>
      <c r="G69" s="21"/>
      <c r="H69" s="21"/>
      <c r="I69" s="272">
        <f>(1*$B$51)*(2^(((I56 - 14) -$B$53)/$I$82))</f>
        <v>0.26367099160898083</v>
      </c>
      <c r="J69" s="273">
        <f>(1*$B$51)*(2^(((J56 - 14) -$B$53)/$I$82))</f>
        <v>0.38479198881578991</v>
      </c>
      <c r="K69" s="273">
        <f>(1*$B$51)*(2^(((K56 - 14) -$B$53)/$I$82))</f>
        <v>0.5615516282367099</v>
      </c>
      <c r="L69" s="273">
        <f>(1*$B$51)*(2^(((L56 - 14) -$B$53)/$I$82))</f>
        <v>0.81950830667179397</v>
      </c>
      <c r="M69" s="240">
        <f t="shared" ref="M69:AL69" si="38">($I$57*$B$51)*(2^(((M56 - 14) - $I$56)/HLOOKUP((M56-14)-$B$53,$I$80:$AM$82,3,TRUE)))</f>
        <v>1.1325388558528744</v>
      </c>
      <c r="N69" s="232">
        <f t="shared" si="38"/>
        <v>2.1038004243274724</v>
      </c>
      <c r="O69" s="232">
        <f t="shared" si="38"/>
        <v>3.295454545454545</v>
      </c>
      <c r="P69" s="232">
        <f t="shared" si="38"/>
        <v>8.3349659328384966</v>
      </c>
      <c r="Q69" s="231">
        <f t="shared" si="38"/>
        <v>87.112146037643384</v>
      </c>
      <c r="R69" s="232">
        <f t="shared" si="38"/>
        <v>482.70164699170289</v>
      </c>
      <c r="S69" s="232">
        <f t="shared" si="38"/>
        <v>664.87473183888858</v>
      </c>
      <c r="T69" s="302">
        <f t="shared" si="38"/>
        <v>913.20194520889606</v>
      </c>
      <c r="U69" s="302">
        <f t="shared" si="38"/>
        <v>1808.8204125436544</v>
      </c>
      <c r="V69" s="308">
        <f t="shared" si="38"/>
        <v>2220.4655373983946</v>
      </c>
      <c r="W69" s="232">
        <f t="shared" si="38"/>
        <v>284.66387583224713</v>
      </c>
      <c r="X69" s="232">
        <f t="shared" si="38"/>
        <v>449.22615888238221</v>
      </c>
      <c r="Y69" s="232">
        <f t="shared" si="38"/>
        <v>608.39931244651223</v>
      </c>
      <c r="Z69" s="232">
        <f t="shared" si="38"/>
        <v>763.49126397111343</v>
      </c>
      <c r="AA69" s="232">
        <f t="shared" si="38"/>
        <v>915.51189675035266</v>
      </c>
      <c r="AB69" s="283">
        <f t="shared" si="38"/>
        <v>4571.2877621919488</v>
      </c>
      <c r="AC69" s="283">
        <f t="shared" si="38"/>
        <v>5419.8089609737726</v>
      </c>
      <c r="AD69" s="283">
        <f t="shared" si="38"/>
        <v>8202.3707549355458</v>
      </c>
      <c r="AE69" s="232">
        <f t="shared" si="38"/>
        <v>13794.94117260396</v>
      </c>
      <c r="AF69" s="232">
        <f t="shared" si="38"/>
        <v>24515.969598703403</v>
      </c>
      <c r="AG69" s="232">
        <f t="shared" si="38"/>
        <v>45005.311106179011</v>
      </c>
      <c r="AH69" s="232">
        <f t="shared" si="38"/>
        <v>84345.72909282503</v>
      </c>
      <c r="AI69" s="232">
        <f t="shared" si="38"/>
        <v>160303.81623094127</v>
      </c>
      <c r="AJ69" s="240">
        <f t="shared" si="38"/>
        <v>307703.22692043125</v>
      </c>
      <c r="AK69" s="265">
        <f t="shared" si="38"/>
        <v>594952.78331480944</v>
      </c>
      <c r="AL69" s="222">
        <f t="shared" si="38"/>
        <v>1156705.8617953146</v>
      </c>
      <c r="AM69" s="243">
        <f>AM57*B51</f>
        <v>153804</v>
      </c>
      <c r="AN69" s="57"/>
      <c r="AO69" s="57"/>
      <c r="AP69" s="81"/>
    </row>
    <row r="70" spans="1:42" x14ac:dyDescent="0.25">
      <c r="A70" s="53" t="s">
        <v>263</v>
      </c>
      <c r="B70" s="27"/>
      <c r="C70" s="28"/>
      <c r="D70" s="28"/>
      <c r="E70" s="28"/>
      <c r="F70" s="28"/>
      <c r="G70" s="28"/>
      <c r="H70" s="28"/>
      <c r="I70" s="216">
        <f t="shared" ref="I70:L70" si="39">I69</f>
        <v>0.26367099160898083</v>
      </c>
      <c r="J70" s="217">
        <f t="shared" si="39"/>
        <v>0.38479198881578991</v>
      </c>
      <c r="K70" s="217">
        <f t="shared" si="39"/>
        <v>0.5615516282367099</v>
      </c>
      <c r="L70" s="217">
        <f t="shared" si="39"/>
        <v>0.81950830667179397</v>
      </c>
      <c r="M70" s="218">
        <f>M69</f>
        <v>1.1325388558528744</v>
      </c>
      <c r="N70" s="219">
        <f t="shared" ref="N70:P70" si="40">N69</f>
        <v>2.1038004243274724</v>
      </c>
      <c r="O70" s="219">
        <f t="shared" si="40"/>
        <v>3.295454545454545</v>
      </c>
      <c r="P70" s="219">
        <f t="shared" si="40"/>
        <v>8.3349659328384966</v>
      </c>
      <c r="Q70" s="224">
        <f t="shared" ref="Q70:AL70" si="41">MAX(Q69-($I$57*$B$51)*(2^(((Q56 - 35) - $I$56)/HLOOKUP((Q56-35)-$B$53,$I$80:$AM$82,3,TRUE))),0)</f>
        <v>85.930407159202616</v>
      </c>
      <c r="R70" s="223">
        <f t="shared" si="41"/>
        <v>473.08664410244978</v>
      </c>
      <c r="S70" s="223">
        <f t="shared" si="41"/>
        <v>436.18157789175848</v>
      </c>
      <c r="T70" s="223">
        <f t="shared" si="41"/>
        <v>711.63498485752007</v>
      </c>
      <c r="U70" s="223">
        <f t="shared" si="41"/>
        <v>1409.5676138710187</v>
      </c>
      <c r="V70" s="238">
        <f t="shared" si="41"/>
        <v>1730.3521607388693</v>
      </c>
      <c r="W70" s="223">
        <f t="shared" si="41"/>
        <v>0</v>
      </c>
      <c r="X70" s="223">
        <f t="shared" si="41"/>
        <v>189.06643817397389</v>
      </c>
      <c r="Y70" s="223">
        <f t="shared" si="41"/>
        <v>195.59336557308427</v>
      </c>
      <c r="Z70" s="223">
        <f t="shared" si="41"/>
        <v>201.018846348382</v>
      </c>
      <c r="AA70" s="223">
        <f t="shared" si="41"/>
        <v>205.66516809126051</v>
      </c>
      <c r="AB70" s="223">
        <f t="shared" si="41"/>
        <v>2058.5845093743701</v>
      </c>
      <c r="AC70" s="223">
        <f t="shared" si="41"/>
        <v>2008.1909449710747</v>
      </c>
      <c r="AD70" s="223">
        <f t="shared" si="41"/>
        <v>2652.2105149531199</v>
      </c>
      <c r="AE70" s="223">
        <f t="shared" si="41"/>
        <v>4031.6752473391552</v>
      </c>
      <c r="AF70" s="223">
        <f t="shared" si="41"/>
        <v>6625.3846448874137</v>
      </c>
      <c r="AG70" s="223">
        <f t="shared" si="41"/>
        <v>11424.773386242945</v>
      </c>
      <c r="AH70" s="223">
        <f t="shared" si="41"/>
        <v>20341.888263559027</v>
      </c>
      <c r="AI70" s="223">
        <f t="shared" si="41"/>
        <v>37041.820689157234</v>
      </c>
      <c r="AJ70" s="238">
        <f t="shared" si="41"/>
        <v>68568.285939312133</v>
      </c>
      <c r="AK70" s="268">
        <f t="shared" si="41"/>
        <v>128509.01498979965</v>
      </c>
      <c r="AL70" s="221">
        <f t="shared" si="41"/>
        <v>243169.34241082694</v>
      </c>
      <c r="AM70" s="243"/>
      <c r="AN70" s="57"/>
      <c r="AO70" s="57"/>
      <c r="AP70" s="81"/>
    </row>
    <row r="71" spans="1:42" x14ac:dyDescent="0.25">
      <c r="A71" s="16" t="s">
        <v>153</v>
      </c>
      <c r="B71" s="97"/>
      <c r="C71" s="21"/>
      <c r="D71" s="21"/>
      <c r="E71" s="21"/>
      <c r="F71" s="21"/>
      <c r="G71" s="21"/>
      <c r="H71" s="21"/>
      <c r="I71" s="225">
        <f t="shared" ref="I71:AL71" si="42">I57*$B$52</f>
        <v>0.4375</v>
      </c>
      <c r="J71" s="226">
        <f t="shared" si="42"/>
        <v>0.875</v>
      </c>
      <c r="K71" s="226">
        <f t="shared" si="42"/>
        <v>1.75</v>
      </c>
      <c r="L71" s="226">
        <f t="shared" si="42"/>
        <v>3.5</v>
      </c>
      <c r="M71" s="226">
        <f t="shared" si="42"/>
        <v>7</v>
      </c>
      <c r="N71" s="225">
        <f t="shared" si="42"/>
        <v>14</v>
      </c>
      <c r="O71" s="226">
        <f t="shared" si="42"/>
        <v>28</v>
      </c>
      <c r="P71" s="226">
        <f t="shared" si="42"/>
        <v>56</v>
      </c>
      <c r="Q71" s="309">
        <f t="shared" ref="Q71:U71" si="43">Q57*$B$52</f>
        <v>84</v>
      </c>
      <c r="R71" s="310">
        <f t="shared" si="43"/>
        <v>92.4</v>
      </c>
      <c r="S71" s="310">
        <f t="shared" ref="S71:T71" si="44">S57*$B$52</f>
        <v>98</v>
      </c>
      <c r="T71" s="310">
        <f t="shared" si="44"/>
        <v>103.60000000000001</v>
      </c>
      <c r="U71" s="310">
        <f t="shared" si="43"/>
        <v>109.2</v>
      </c>
      <c r="V71" s="311">
        <f t="shared" si="42"/>
        <v>112</v>
      </c>
      <c r="W71" s="226">
        <f t="shared" ref="W71:Z71" si="45">W57*$B$52</f>
        <v>179.20000000000002</v>
      </c>
      <c r="X71" s="226">
        <f t="shared" si="45"/>
        <v>246.4</v>
      </c>
      <c r="Y71" s="226">
        <f t="shared" si="45"/>
        <v>313.60000000000002</v>
      </c>
      <c r="Z71" s="226">
        <f t="shared" si="45"/>
        <v>380.8</v>
      </c>
      <c r="AA71" s="226">
        <f t="shared" si="42"/>
        <v>224</v>
      </c>
      <c r="AB71" s="226">
        <f t="shared" si="42"/>
        <v>448</v>
      </c>
      <c r="AC71" s="226">
        <f t="shared" si="42"/>
        <v>896</v>
      </c>
      <c r="AD71" s="226">
        <f t="shared" si="42"/>
        <v>1792</v>
      </c>
      <c r="AE71" s="226">
        <f t="shared" si="42"/>
        <v>3584</v>
      </c>
      <c r="AF71" s="226">
        <f t="shared" si="42"/>
        <v>7168</v>
      </c>
      <c r="AG71" s="226">
        <f t="shared" si="42"/>
        <v>14336</v>
      </c>
      <c r="AH71" s="226">
        <f t="shared" si="42"/>
        <v>28672</v>
      </c>
      <c r="AI71" s="226">
        <f t="shared" si="42"/>
        <v>57344</v>
      </c>
      <c r="AJ71" s="227">
        <f t="shared" si="42"/>
        <v>114688</v>
      </c>
      <c r="AK71" s="267">
        <f t="shared" si="42"/>
        <v>229376</v>
      </c>
      <c r="AL71" s="222">
        <f t="shared" si="42"/>
        <v>358876</v>
      </c>
      <c r="AM71" s="243">
        <f>AM57*B52</f>
        <v>71775.199999999997</v>
      </c>
      <c r="AN71" s="57"/>
      <c r="AO71" s="57"/>
      <c r="AP71" s="81"/>
    </row>
    <row r="72" spans="1:42" x14ac:dyDescent="0.25">
      <c r="A72" s="49" t="s">
        <v>152</v>
      </c>
      <c r="B72" s="50"/>
      <c r="C72" s="51"/>
      <c r="D72" s="51"/>
      <c r="E72" s="51"/>
      <c r="F72" s="51"/>
      <c r="G72" s="51"/>
      <c r="H72" s="51"/>
      <c r="I72" s="216"/>
      <c r="J72" s="217"/>
      <c r="K72" s="217"/>
      <c r="L72" s="217"/>
      <c r="M72" s="217"/>
      <c r="N72" s="216"/>
      <c r="O72" s="217"/>
      <c r="P72" s="229">
        <f t="shared" ref="P72:U72" si="46">($I$57*$B$52)*(2^(((P56-35)-$I$56)/$I$82))</f>
        <v>0.2054237812312126</v>
      </c>
      <c r="Q72" s="230">
        <f t="shared" si="46"/>
        <v>0.55147814327235634</v>
      </c>
      <c r="R72" s="229">
        <f t="shared" si="46"/>
        <v>1.6195514970756304</v>
      </c>
      <c r="S72" s="229">
        <f t="shared" si="46"/>
        <v>18.284971614215511</v>
      </c>
      <c r="T72" s="229">
        <f t="shared" si="46"/>
        <v>506.62023655010273</v>
      </c>
      <c r="U72" s="229">
        <f t="shared" si="46"/>
        <v>1243.2865849697139</v>
      </c>
      <c r="V72" s="228">
        <f t="shared" ref="V72:AL72" si="47">($I$57*$B$52)*(2^(((V56-35)-$I$56)/HLOOKUP((V56-35)-$B$53,$I$80:$AM$82,3,TRUE)))</f>
        <v>228.71957577444516</v>
      </c>
      <c r="W72" s="229">
        <f t="shared" si="47"/>
        <v>897.34734412287048</v>
      </c>
      <c r="X72" s="229">
        <f t="shared" si="47"/>
        <v>121.40786966392388</v>
      </c>
      <c r="Y72" s="229">
        <f t="shared" si="47"/>
        <v>192.6427752075997</v>
      </c>
      <c r="Z72" s="229">
        <f t="shared" si="47"/>
        <v>262.48712822394134</v>
      </c>
      <c r="AA72" s="229">
        <f t="shared" si="47"/>
        <v>331.26180670757634</v>
      </c>
      <c r="AB72" s="229">
        <f t="shared" si="47"/>
        <v>1172.5948513148701</v>
      </c>
      <c r="AC72" s="229">
        <f t="shared" si="47"/>
        <v>1592.0884074679257</v>
      </c>
      <c r="AD72" s="229">
        <f t="shared" si="47"/>
        <v>2590.0747786584652</v>
      </c>
      <c r="AE72" s="229">
        <f t="shared" si="47"/>
        <v>4556.1907651235761</v>
      </c>
      <c r="AF72" s="229">
        <f t="shared" si="47"/>
        <v>8348.9396451141292</v>
      </c>
      <c r="AG72" s="229">
        <f t="shared" si="47"/>
        <v>15670.917602636833</v>
      </c>
      <c r="AH72" s="229">
        <f t="shared" si="47"/>
        <v>29868.459053657469</v>
      </c>
      <c r="AI72" s="229">
        <f t="shared" si="47"/>
        <v>57522.264586165889</v>
      </c>
      <c r="AJ72" s="228">
        <f t="shared" si="47"/>
        <v>111596.30579118892</v>
      </c>
      <c r="AK72" s="268">
        <f t="shared" si="47"/>
        <v>217673.75855167123</v>
      </c>
      <c r="AL72" s="221">
        <f t="shared" si="47"/>
        <v>426317.04237942758</v>
      </c>
      <c r="AM72" s="246">
        <f>($I$57*$B$52)*(2^(((AM56 - 35) - $I$56)/AM82))</f>
        <v>237061.61400247682</v>
      </c>
      <c r="AN72" s="57"/>
      <c r="AO72" s="57"/>
      <c r="AP72" s="81"/>
    </row>
    <row r="73" spans="1:42" s="81" customFormat="1" hidden="1" x14ac:dyDescent="0.25">
      <c r="A73" s="60" t="s">
        <v>205</v>
      </c>
      <c r="B73" s="37"/>
      <c r="C73" s="59"/>
      <c r="D73" s="59"/>
      <c r="E73" s="59"/>
      <c r="F73" s="59"/>
      <c r="G73" s="59"/>
      <c r="H73" s="59"/>
      <c r="I73" s="164">
        <f t="shared" ref="I73:AL73" si="48">I56-7</f>
        <v>43885</v>
      </c>
      <c r="J73" s="164">
        <f t="shared" si="48"/>
        <v>43889</v>
      </c>
      <c r="K73" s="164">
        <f t="shared" si="48"/>
        <v>43893</v>
      </c>
      <c r="L73" s="164">
        <f t="shared" si="48"/>
        <v>43897</v>
      </c>
      <c r="M73" s="164">
        <f t="shared" si="48"/>
        <v>43901</v>
      </c>
      <c r="N73" s="164">
        <f t="shared" si="48"/>
        <v>43904</v>
      </c>
      <c r="O73" s="164">
        <f t="shared" si="48"/>
        <v>43907</v>
      </c>
      <c r="P73" s="164">
        <f t="shared" si="48"/>
        <v>43912</v>
      </c>
      <c r="Q73" s="164"/>
      <c r="R73" s="164"/>
      <c r="S73" s="164"/>
      <c r="T73" s="164"/>
      <c r="U73" s="164"/>
      <c r="V73" s="164">
        <f t="shared" si="48"/>
        <v>44007</v>
      </c>
      <c r="W73" s="164"/>
      <c r="X73" s="164"/>
      <c r="Y73" s="164"/>
      <c r="Z73" s="164"/>
      <c r="AA73" s="164">
        <f t="shared" si="48"/>
        <v>44102</v>
      </c>
      <c r="AB73" s="164">
        <f t="shared" si="48"/>
        <v>44197</v>
      </c>
      <c r="AC73" s="164">
        <f t="shared" si="48"/>
        <v>44292</v>
      </c>
      <c r="AD73" s="164">
        <f t="shared" si="48"/>
        <v>44387</v>
      </c>
      <c r="AE73" s="164">
        <f t="shared" si="48"/>
        <v>44482</v>
      </c>
      <c r="AF73" s="164">
        <f t="shared" si="48"/>
        <v>44577</v>
      </c>
      <c r="AG73" s="164">
        <f t="shared" si="48"/>
        <v>44672</v>
      </c>
      <c r="AH73" s="164">
        <f t="shared" si="48"/>
        <v>44767</v>
      </c>
      <c r="AI73" s="164">
        <f t="shared" si="48"/>
        <v>44862</v>
      </c>
      <c r="AJ73" s="164">
        <f t="shared" si="48"/>
        <v>44957</v>
      </c>
      <c r="AK73" s="164">
        <f t="shared" si="48"/>
        <v>45052</v>
      </c>
      <c r="AL73" s="164">
        <f t="shared" si="48"/>
        <v>45147</v>
      </c>
      <c r="AM73" s="164"/>
      <c r="AN73" s="57"/>
      <c r="AO73" s="57"/>
    </row>
    <row r="74" spans="1:42" s="81" customFormat="1" hidden="1" x14ac:dyDescent="0.25">
      <c r="A74" s="60" t="s">
        <v>203</v>
      </c>
      <c r="B74" s="37"/>
      <c r="C74" s="59"/>
      <c r="D74" s="59"/>
      <c r="E74" s="59"/>
      <c r="F74" s="59"/>
      <c r="G74" s="59"/>
      <c r="H74" s="59"/>
      <c r="I74" s="164">
        <f t="shared" ref="I74:AL74" si="49">I56-14</f>
        <v>43878</v>
      </c>
      <c r="J74" s="164">
        <f t="shared" si="49"/>
        <v>43882</v>
      </c>
      <c r="K74" s="164">
        <f t="shared" si="49"/>
        <v>43886</v>
      </c>
      <c r="L74" s="164">
        <f t="shared" si="49"/>
        <v>43890</v>
      </c>
      <c r="M74" s="164">
        <f t="shared" si="49"/>
        <v>43894</v>
      </c>
      <c r="N74" s="164">
        <f t="shared" si="49"/>
        <v>43897</v>
      </c>
      <c r="O74" s="164">
        <f t="shared" si="49"/>
        <v>43900</v>
      </c>
      <c r="P74" s="164">
        <f t="shared" si="49"/>
        <v>43905</v>
      </c>
      <c r="Q74" s="164"/>
      <c r="R74" s="164"/>
      <c r="S74" s="164"/>
      <c r="T74" s="164"/>
      <c r="U74" s="164"/>
      <c r="V74" s="164">
        <f t="shared" si="49"/>
        <v>44000</v>
      </c>
      <c r="W74" s="164"/>
      <c r="X74" s="164"/>
      <c r="Y74" s="164"/>
      <c r="Z74" s="164"/>
      <c r="AA74" s="164">
        <f t="shared" si="49"/>
        <v>44095</v>
      </c>
      <c r="AB74" s="164">
        <f t="shared" si="49"/>
        <v>44190</v>
      </c>
      <c r="AC74" s="164">
        <f t="shared" si="49"/>
        <v>44285</v>
      </c>
      <c r="AD74" s="164">
        <f t="shared" si="49"/>
        <v>44380</v>
      </c>
      <c r="AE74" s="164">
        <f t="shared" si="49"/>
        <v>44475</v>
      </c>
      <c r="AF74" s="164">
        <f t="shared" si="49"/>
        <v>44570</v>
      </c>
      <c r="AG74" s="164">
        <f t="shared" si="49"/>
        <v>44665</v>
      </c>
      <c r="AH74" s="164">
        <f t="shared" si="49"/>
        <v>44760</v>
      </c>
      <c r="AI74" s="164">
        <f t="shared" si="49"/>
        <v>44855</v>
      </c>
      <c r="AJ74" s="164">
        <f t="shared" si="49"/>
        <v>44950</v>
      </c>
      <c r="AK74" s="164">
        <f t="shared" si="49"/>
        <v>45045</v>
      </c>
      <c r="AL74" s="164">
        <f t="shared" si="49"/>
        <v>45140</v>
      </c>
      <c r="AM74" s="164"/>
      <c r="AN74" s="57"/>
      <c r="AO74" s="57"/>
    </row>
    <row r="75" spans="1:42" s="81" customFormat="1" hidden="1" x14ac:dyDescent="0.25">
      <c r="A75" s="60" t="s">
        <v>206</v>
      </c>
      <c r="B75" s="37"/>
      <c r="C75" s="59"/>
      <c r="D75" s="59"/>
      <c r="E75" s="59"/>
      <c r="F75" s="59"/>
      <c r="G75" s="59"/>
      <c r="H75" s="59"/>
      <c r="I75" s="164">
        <f t="shared" ref="I75:AL75" si="50">I56-(7*5)</f>
        <v>43857</v>
      </c>
      <c r="J75" s="164">
        <f t="shared" si="50"/>
        <v>43861</v>
      </c>
      <c r="K75" s="164">
        <f t="shared" si="50"/>
        <v>43865</v>
      </c>
      <c r="L75" s="164">
        <f t="shared" si="50"/>
        <v>43869</v>
      </c>
      <c r="M75" s="164">
        <f t="shared" si="50"/>
        <v>43873</v>
      </c>
      <c r="N75" s="164">
        <f t="shared" si="50"/>
        <v>43876</v>
      </c>
      <c r="O75" s="164">
        <f t="shared" si="50"/>
        <v>43879</v>
      </c>
      <c r="P75" s="164">
        <f t="shared" si="50"/>
        <v>43884</v>
      </c>
      <c r="Q75" s="164"/>
      <c r="R75" s="164"/>
      <c r="S75" s="164"/>
      <c r="T75" s="164"/>
      <c r="U75" s="164"/>
      <c r="V75" s="164">
        <f t="shared" si="50"/>
        <v>43979</v>
      </c>
      <c r="W75" s="164"/>
      <c r="X75" s="164"/>
      <c r="Y75" s="164"/>
      <c r="Z75" s="164"/>
      <c r="AA75" s="164">
        <f t="shared" si="50"/>
        <v>44074</v>
      </c>
      <c r="AB75" s="164">
        <f t="shared" si="50"/>
        <v>44169</v>
      </c>
      <c r="AC75" s="164">
        <f t="shared" si="50"/>
        <v>44264</v>
      </c>
      <c r="AD75" s="164">
        <f t="shared" si="50"/>
        <v>44359</v>
      </c>
      <c r="AE75" s="164">
        <f t="shared" si="50"/>
        <v>44454</v>
      </c>
      <c r="AF75" s="164">
        <f t="shared" si="50"/>
        <v>44549</v>
      </c>
      <c r="AG75" s="164">
        <f t="shared" si="50"/>
        <v>44644</v>
      </c>
      <c r="AH75" s="164">
        <f t="shared" si="50"/>
        <v>44739</v>
      </c>
      <c r="AI75" s="164">
        <f t="shared" si="50"/>
        <v>44834</v>
      </c>
      <c r="AJ75" s="164">
        <f t="shared" si="50"/>
        <v>44929</v>
      </c>
      <c r="AK75" s="164">
        <f t="shared" si="50"/>
        <v>45024</v>
      </c>
      <c r="AL75" s="164">
        <f t="shared" si="50"/>
        <v>45119</v>
      </c>
      <c r="AM75" s="164"/>
      <c r="AN75" s="57"/>
      <c r="AO75" s="57"/>
    </row>
    <row r="76" spans="1:42" s="81" customFormat="1" hidden="1" x14ac:dyDescent="0.25">
      <c r="A76" s="60" t="s">
        <v>204</v>
      </c>
      <c r="B76" s="37"/>
      <c r="C76" s="59"/>
      <c r="D76" s="59"/>
      <c r="E76" s="59"/>
      <c r="F76" s="59"/>
      <c r="G76" s="59"/>
      <c r="H76" s="59"/>
      <c r="I76" s="164">
        <f t="shared" ref="I76:AL76" si="51">I56-(6*7)</f>
        <v>43850</v>
      </c>
      <c r="J76" s="164">
        <f t="shared" si="51"/>
        <v>43854</v>
      </c>
      <c r="K76" s="164">
        <f t="shared" si="51"/>
        <v>43858</v>
      </c>
      <c r="L76" s="164">
        <f t="shared" si="51"/>
        <v>43862</v>
      </c>
      <c r="M76" s="164">
        <f t="shared" si="51"/>
        <v>43866</v>
      </c>
      <c r="N76" s="164">
        <f t="shared" si="51"/>
        <v>43869</v>
      </c>
      <c r="O76" s="164">
        <f t="shared" si="51"/>
        <v>43872</v>
      </c>
      <c r="P76" s="164">
        <f t="shared" si="51"/>
        <v>43877</v>
      </c>
      <c r="Q76" s="164"/>
      <c r="R76" s="164"/>
      <c r="S76" s="164"/>
      <c r="T76" s="164"/>
      <c r="U76" s="164"/>
      <c r="V76" s="164">
        <f t="shared" si="51"/>
        <v>43972</v>
      </c>
      <c r="W76" s="164"/>
      <c r="X76" s="164"/>
      <c r="Y76" s="164"/>
      <c r="Z76" s="164"/>
      <c r="AA76" s="164">
        <f t="shared" si="51"/>
        <v>44067</v>
      </c>
      <c r="AB76" s="164">
        <f t="shared" si="51"/>
        <v>44162</v>
      </c>
      <c r="AC76" s="164">
        <f t="shared" si="51"/>
        <v>44257</v>
      </c>
      <c r="AD76" s="164">
        <f t="shared" si="51"/>
        <v>44352</v>
      </c>
      <c r="AE76" s="164">
        <f t="shared" si="51"/>
        <v>44447</v>
      </c>
      <c r="AF76" s="164">
        <f t="shared" si="51"/>
        <v>44542</v>
      </c>
      <c r="AG76" s="164">
        <f t="shared" si="51"/>
        <v>44637</v>
      </c>
      <c r="AH76" s="164">
        <f t="shared" si="51"/>
        <v>44732</v>
      </c>
      <c r="AI76" s="164">
        <f t="shared" si="51"/>
        <v>44827</v>
      </c>
      <c r="AJ76" s="164">
        <f t="shared" si="51"/>
        <v>44922</v>
      </c>
      <c r="AK76" s="164">
        <f t="shared" si="51"/>
        <v>45017</v>
      </c>
      <c r="AL76" s="164">
        <f t="shared" si="51"/>
        <v>45112</v>
      </c>
      <c r="AM76" s="164"/>
      <c r="AN76" s="57"/>
      <c r="AO76" s="57"/>
    </row>
    <row r="78" spans="1:42" x14ac:dyDescent="0.25">
      <c r="A78" s="65" t="s">
        <v>140</v>
      </c>
      <c r="B78" s="27"/>
      <c r="C78" s="28"/>
      <c r="D78" s="28"/>
      <c r="E78" s="28"/>
      <c r="F78" s="28"/>
      <c r="G78" s="28"/>
      <c r="H78" s="28"/>
    </row>
    <row r="79" spans="1:42" s="81" customFormat="1" x14ac:dyDescent="0.25">
      <c r="A79" s="157" t="s">
        <v>201</v>
      </c>
      <c r="B79" s="37"/>
      <c r="C79" s="59"/>
      <c r="D79" s="59"/>
      <c r="E79" s="59"/>
      <c r="F79" s="59"/>
      <c r="G79" s="59"/>
      <c r="H79" s="59"/>
      <c r="I79" s="158">
        <f t="shared" ref="I79:AM79" si="52">(I56-$B$53)/7</f>
        <v>5.2857142857142856</v>
      </c>
      <c r="J79" s="155">
        <f t="shared" si="52"/>
        <v>5.8571428571428568</v>
      </c>
      <c r="K79" s="156">
        <f t="shared" si="52"/>
        <v>6.4285714285714288</v>
      </c>
      <c r="L79" s="158">
        <f t="shared" si="52"/>
        <v>7</v>
      </c>
      <c r="M79" s="155">
        <f t="shared" si="52"/>
        <v>7.5714285714285712</v>
      </c>
      <c r="N79" s="159">
        <f t="shared" si="52"/>
        <v>8</v>
      </c>
      <c r="O79" s="156">
        <f t="shared" si="52"/>
        <v>8.4285714285714288</v>
      </c>
      <c r="P79" s="158">
        <f t="shared" si="52"/>
        <v>9.1428571428571423</v>
      </c>
      <c r="Q79" s="158">
        <f t="shared" ref="Q79:U79" si="53">(Q56-$B$53)/7</f>
        <v>10.63571428571387</v>
      </c>
      <c r="R79" s="155">
        <f t="shared" si="53"/>
        <v>12.264285714285506</v>
      </c>
      <c r="S79" s="155">
        <f t="shared" ref="S79:T79" si="54">(S56-$B$53)/7</f>
        <v>15.928571428571429</v>
      </c>
      <c r="T79" s="155">
        <f t="shared" si="54"/>
        <v>20.950000000000209</v>
      </c>
      <c r="U79" s="155">
        <f t="shared" si="53"/>
        <v>22.307142857143067</v>
      </c>
      <c r="V79" s="155">
        <f t="shared" si="52"/>
        <v>22.714285714285715</v>
      </c>
      <c r="W79" s="155"/>
      <c r="X79" s="155"/>
      <c r="Y79" s="155"/>
      <c r="Z79" s="155"/>
      <c r="AA79" s="158">
        <f t="shared" si="52"/>
        <v>36.285714285714285</v>
      </c>
      <c r="AB79" s="156">
        <f t="shared" si="52"/>
        <v>49.857142857142854</v>
      </c>
      <c r="AC79" s="158">
        <f t="shared" si="52"/>
        <v>63.428571428571431</v>
      </c>
      <c r="AD79" s="158">
        <f t="shared" si="52"/>
        <v>77</v>
      </c>
      <c r="AE79" s="156">
        <f t="shared" si="52"/>
        <v>90.571428571428569</v>
      </c>
      <c r="AF79" s="158">
        <f t="shared" si="52"/>
        <v>104.14285714285714</v>
      </c>
      <c r="AG79" s="158">
        <f t="shared" si="52"/>
        <v>117.71428571428571</v>
      </c>
      <c r="AH79" s="158">
        <f t="shared" si="52"/>
        <v>131.28571428571428</v>
      </c>
      <c r="AI79" s="156">
        <f t="shared" si="52"/>
        <v>144.85714285714286</v>
      </c>
      <c r="AJ79" s="155">
        <f t="shared" si="52"/>
        <v>158.42857142857142</v>
      </c>
      <c r="AK79" s="158">
        <f t="shared" si="52"/>
        <v>172</v>
      </c>
      <c r="AL79" s="158">
        <f t="shared" si="52"/>
        <v>185.57142857142858</v>
      </c>
      <c r="AM79" s="158">
        <f t="shared" si="52"/>
        <v>193.57142857142858</v>
      </c>
    </row>
    <row r="80" spans="1:42" s="81" customFormat="1" x14ac:dyDescent="0.25">
      <c r="A80" s="157" t="s">
        <v>200</v>
      </c>
      <c r="B80" s="37"/>
      <c r="C80" s="59"/>
      <c r="D80" s="59"/>
      <c r="E80" s="59"/>
      <c r="F80" s="59"/>
      <c r="G80" s="59"/>
      <c r="H80" s="59"/>
      <c r="I80" s="258">
        <f>I56-B53</f>
        <v>37</v>
      </c>
      <c r="J80" s="259">
        <f t="shared" ref="J80:AM80" si="55">J56-$B$53</f>
        <v>41</v>
      </c>
      <c r="K80" s="259">
        <f t="shared" si="55"/>
        <v>45</v>
      </c>
      <c r="L80" s="259">
        <f t="shared" si="55"/>
        <v>49</v>
      </c>
      <c r="M80" s="259">
        <f t="shared" si="55"/>
        <v>53</v>
      </c>
      <c r="N80" s="259">
        <f t="shared" si="55"/>
        <v>56</v>
      </c>
      <c r="O80" s="259">
        <f t="shared" si="55"/>
        <v>59</v>
      </c>
      <c r="P80" s="259">
        <f t="shared" si="55"/>
        <v>64</v>
      </c>
      <c r="Q80" s="259">
        <f t="shared" ref="Q80:U80" si="56">Q56-$B$53</f>
        <v>74.44999999999709</v>
      </c>
      <c r="R80" s="259">
        <f t="shared" si="56"/>
        <v>85.849999999998545</v>
      </c>
      <c r="S80" s="259">
        <f t="shared" ref="S80:T80" si="57">S56-$B$53</f>
        <v>111.5</v>
      </c>
      <c r="T80" s="259">
        <f t="shared" si="57"/>
        <v>146.65000000000146</v>
      </c>
      <c r="U80" s="259">
        <f t="shared" si="56"/>
        <v>156.15000000000146</v>
      </c>
      <c r="V80" s="259">
        <f t="shared" si="55"/>
        <v>159</v>
      </c>
      <c r="W80" s="259">
        <f t="shared" ref="W80:Z80" si="58">W56-$B$53</f>
        <v>178</v>
      </c>
      <c r="X80" s="259">
        <f t="shared" si="58"/>
        <v>197</v>
      </c>
      <c r="Y80" s="259">
        <f t="shared" si="58"/>
        <v>216</v>
      </c>
      <c r="Z80" s="259">
        <f t="shared" si="58"/>
        <v>235</v>
      </c>
      <c r="AA80" s="259">
        <f t="shared" si="55"/>
        <v>254</v>
      </c>
      <c r="AB80" s="259">
        <f t="shared" si="55"/>
        <v>349</v>
      </c>
      <c r="AC80" s="259">
        <f t="shared" si="55"/>
        <v>444</v>
      </c>
      <c r="AD80" s="259">
        <f t="shared" si="55"/>
        <v>539</v>
      </c>
      <c r="AE80" s="259">
        <f t="shared" si="55"/>
        <v>634</v>
      </c>
      <c r="AF80" s="259">
        <f t="shared" si="55"/>
        <v>729</v>
      </c>
      <c r="AG80" s="259">
        <f t="shared" si="55"/>
        <v>824</v>
      </c>
      <c r="AH80" s="259">
        <f t="shared" si="55"/>
        <v>919</v>
      </c>
      <c r="AI80" s="260">
        <f t="shared" si="55"/>
        <v>1014</v>
      </c>
      <c r="AJ80" s="259">
        <f t="shared" si="55"/>
        <v>1109</v>
      </c>
      <c r="AK80" s="264">
        <f t="shared" si="55"/>
        <v>1204</v>
      </c>
      <c r="AL80" s="257">
        <f t="shared" si="55"/>
        <v>1299</v>
      </c>
      <c r="AM80" s="257">
        <f t="shared" si="55"/>
        <v>1355</v>
      </c>
    </row>
    <row r="81" spans="1:39" x14ac:dyDescent="0.25">
      <c r="A81" s="53" t="s">
        <v>134</v>
      </c>
      <c r="B81" s="28"/>
      <c r="C81" s="28"/>
      <c r="D81" s="28"/>
      <c r="E81" s="28"/>
      <c r="F81" s="28"/>
      <c r="G81" s="28"/>
      <c r="H81" s="28"/>
      <c r="I81" s="160">
        <v>33</v>
      </c>
      <c r="J81" s="161">
        <v>63</v>
      </c>
      <c r="K81" s="162">
        <v>116</v>
      </c>
      <c r="L81" s="162">
        <v>248</v>
      </c>
      <c r="M81" s="162">
        <v>596</v>
      </c>
      <c r="N81" s="162">
        <v>1072</v>
      </c>
      <c r="O81" s="162">
        <v>2317</v>
      </c>
      <c r="P81" s="162">
        <v>4163</v>
      </c>
      <c r="Q81" s="162">
        <v>6052</v>
      </c>
      <c r="R81" s="162">
        <v>6612</v>
      </c>
      <c r="S81" s="162">
        <v>7019</v>
      </c>
      <c r="T81" s="162">
        <v>7409</v>
      </c>
      <c r="U81" s="162">
        <v>7767</v>
      </c>
      <c r="V81" s="162">
        <v>8001</v>
      </c>
      <c r="W81" s="198">
        <f t="shared" ref="W81:Z81" si="59">W57</f>
        <v>12800</v>
      </c>
      <c r="X81" s="198">
        <f t="shared" si="59"/>
        <v>17600</v>
      </c>
      <c r="Y81" s="198">
        <f t="shared" si="59"/>
        <v>22400</v>
      </c>
      <c r="Z81" s="198">
        <f t="shared" si="59"/>
        <v>27200</v>
      </c>
      <c r="AA81" s="198">
        <f t="shared" ref="AA81:AJ81" si="60">AA57</f>
        <v>16000</v>
      </c>
      <c r="AB81" s="198">
        <f t="shared" si="60"/>
        <v>32000</v>
      </c>
      <c r="AC81" s="198">
        <f t="shared" si="60"/>
        <v>64000</v>
      </c>
      <c r="AD81" s="198">
        <f t="shared" si="60"/>
        <v>128000</v>
      </c>
      <c r="AE81" s="198">
        <f t="shared" si="60"/>
        <v>256000</v>
      </c>
      <c r="AF81" s="198">
        <f t="shared" si="60"/>
        <v>512000</v>
      </c>
      <c r="AG81" s="198">
        <f t="shared" si="60"/>
        <v>1024000</v>
      </c>
      <c r="AH81" s="198">
        <f t="shared" si="60"/>
        <v>2048000</v>
      </c>
      <c r="AI81" s="198">
        <f t="shared" si="60"/>
        <v>4096000</v>
      </c>
      <c r="AJ81" s="198">
        <f t="shared" si="60"/>
        <v>8192000</v>
      </c>
      <c r="AK81" s="255">
        <f t="shared" ref="AK81" si="61">AJ81*2</f>
        <v>16384000</v>
      </c>
      <c r="AL81" s="202">
        <f>AL57</f>
        <v>25634000</v>
      </c>
      <c r="AM81" s="203">
        <f>AL81</f>
        <v>25634000</v>
      </c>
    </row>
    <row r="82" spans="1:39" x14ac:dyDescent="0.25">
      <c r="A82" s="53" t="s">
        <v>260</v>
      </c>
      <c r="B82" s="28"/>
      <c r="C82" s="28"/>
      <c r="D82" s="28"/>
      <c r="E82" s="28"/>
      <c r="F82" s="28"/>
      <c r="G82" s="28"/>
      <c r="H82" s="28"/>
      <c r="I82" s="208">
        <f>(I56-B53)/(LOG(I81/1)/LOG(2))</f>
        <v>7.3348749373107394</v>
      </c>
      <c r="J82" s="190">
        <f t="shared" ref="J82:AM82" si="62">(J56-$I$56)/(LOG(J81/$I$81)/LOG(2))</f>
        <v>4.287770252524326</v>
      </c>
      <c r="K82" s="190">
        <f t="shared" si="62"/>
        <v>4.4111479339015975</v>
      </c>
      <c r="L82" s="190">
        <f t="shared" si="62"/>
        <v>4.1239916709798061</v>
      </c>
      <c r="M82" s="190">
        <f t="shared" si="62"/>
        <v>3.8325424233151351</v>
      </c>
      <c r="N82" s="190">
        <f t="shared" si="62"/>
        <v>3.7835829796492675</v>
      </c>
      <c r="O82" s="190">
        <f t="shared" si="62"/>
        <v>3.5867723822019695</v>
      </c>
      <c r="P82" s="190">
        <f t="shared" si="62"/>
        <v>3.8687414968098568</v>
      </c>
      <c r="Q82" s="190">
        <f>(Q56-$I$56)/(LOG(Q81/$I$81)/LOG(2))</f>
        <v>4.9808465814944229</v>
      </c>
      <c r="R82" s="190">
        <f>(R56-$I$56)/(LOG(R81/$I$81)/LOG(2))</f>
        <v>6.3885630863942993</v>
      </c>
      <c r="S82" s="190">
        <f>(S56-$I$56)/(LOG(S81/$I$81)/LOG(2))</f>
        <v>9.6344649481670324</v>
      </c>
      <c r="T82" s="190">
        <f>(T56-$I$56)/(LOG(T81/$I$81)/LOG(2))</f>
        <v>14.038490174645888</v>
      </c>
      <c r="U82" s="190">
        <f>(U56-$I$56)/(LOG(U81/$I$81)/LOG(2))</f>
        <v>15.122961868611593</v>
      </c>
      <c r="V82" s="190">
        <f t="shared" si="62"/>
        <v>15.400986476095756</v>
      </c>
      <c r="W82" s="199">
        <f t="shared" ref="W82:Z82" si="63">(W56-$I$56)/(LOG(W81/$I$81)/LOG(2))</f>
        <v>16.396374429636232</v>
      </c>
      <c r="X82" s="199">
        <f t="shared" si="63"/>
        <v>17.6622008704372</v>
      </c>
      <c r="Y82" s="199">
        <f t="shared" si="63"/>
        <v>19.028753311902719</v>
      </c>
      <c r="Z82" s="199">
        <f t="shared" si="63"/>
        <v>20.439923072133592</v>
      </c>
      <c r="AA82" s="199">
        <f t="shared" si="62"/>
        <v>24.3235634782502</v>
      </c>
      <c r="AB82" s="199">
        <f t="shared" si="62"/>
        <v>31.447205966267088</v>
      </c>
      <c r="AC82" s="199">
        <f t="shared" si="62"/>
        <v>37.266318100511221</v>
      </c>
      <c r="AD82" s="199">
        <f t="shared" si="62"/>
        <v>42.109182992855622</v>
      </c>
      <c r="AE82" s="199">
        <f t="shared" si="62"/>
        <v>46.202459051430665</v>
      </c>
      <c r="AF82" s="199">
        <f t="shared" si="62"/>
        <v>49.707679461831034</v>
      </c>
      <c r="AG82" s="199">
        <f t="shared" si="62"/>
        <v>52.743074960266974</v>
      </c>
      <c r="AH82" s="199">
        <f t="shared" si="62"/>
        <v>55.39717266159839</v>
      </c>
      <c r="AI82" s="199">
        <f t="shared" si="62"/>
        <v>57.737573004095367</v>
      </c>
      <c r="AJ82" s="199">
        <f t="shared" si="62"/>
        <v>59.816788212971623</v>
      </c>
      <c r="AK82" s="256">
        <f t="shared" si="62"/>
        <v>61.67622937874517</v>
      </c>
      <c r="AL82" s="204">
        <f t="shared" si="62"/>
        <v>64.495814670148349</v>
      </c>
      <c r="AM82" s="205">
        <f t="shared" si="62"/>
        <v>67.35775256359392</v>
      </c>
    </row>
    <row r="83" spans="1:39" x14ac:dyDescent="0.25">
      <c r="A83" s="53" t="s">
        <v>290</v>
      </c>
      <c r="B83" s="28"/>
      <c r="C83" s="28"/>
      <c r="D83" s="28"/>
      <c r="E83" s="28"/>
      <c r="F83" s="28"/>
      <c r="G83" s="28"/>
      <c r="H83" s="28"/>
      <c r="I83" s="261">
        <v>17</v>
      </c>
      <c r="J83" s="262">
        <v>39</v>
      </c>
      <c r="K83" s="262">
        <v>91</v>
      </c>
      <c r="L83" s="262">
        <v>218</v>
      </c>
      <c r="M83" s="262">
        <v>547</v>
      </c>
      <c r="N83" s="262">
        <v>1019</v>
      </c>
      <c r="O83" s="262">
        <v>2191</v>
      </c>
      <c r="P83" s="262">
        <v>3902</v>
      </c>
      <c r="Q83" s="262">
        <v>3189</v>
      </c>
      <c r="R83" s="262">
        <v>2311</v>
      </c>
      <c r="S83" s="262">
        <v>584</v>
      </c>
      <c r="T83" s="262">
        <v>429</v>
      </c>
      <c r="U83" s="262">
        <v>655</v>
      </c>
      <c r="V83" s="262">
        <v>656</v>
      </c>
      <c r="W83" s="263"/>
      <c r="X83" s="263"/>
      <c r="Y83" s="263"/>
      <c r="Z83" s="263"/>
      <c r="AA83" s="263"/>
      <c r="AB83" s="263"/>
      <c r="AC83" s="263"/>
      <c r="AD83" s="263"/>
      <c r="AE83" s="263"/>
      <c r="AF83" s="263"/>
      <c r="AG83" s="263"/>
      <c r="AH83" s="263"/>
      <c r="AI83" s="263"/>
      <c r="AJ83" s="263"/>
      <c r="AK83" s="255"/>
      <c r="AL83" s="202"/>
      <c r="AM83" s="203"/>
    </row>
    <row r="84" spans="1:39" x14ac:dyDescent="0.25">
      <c r="A84" s="53" t="s">
        <v>160</v>
      </c>
      <c r="B84" s="28"/>
      <c r="C84" s="28"/>
      <c r="D84" s="28"/>
      <c r="E84" s="28"/>
      <c r="F84" s="28"/>
      <c r="G84" s="28"/>
      <c r="H84" s="28"/>
      <c r="I84" s="119">
        <f>I81-I83-I85</f>
        <v>15</v>
      </c>
      <c r="J84" s="120">
        <f>J81-J83-J85</f>
        <v>22</v>
      </c>
      <c r="K84" s="120">
        <f t="shared" ref="K84:L84" si="64">K81-K83-K85</f>
        <v>22</v>
      </c>
      <c r="L84" s="120">
        <f t="shared" si="64"/>
        <v>25</v>
      </c>
      <c r="M84" s="163">
        <f>M81-M83-M85</f>
        <v>43</v>
      </c>
      <c r="N84" s="163">
        <f t="shared" ref="N84:P84" si="65">N81-N83-N85</f>
        <v>46</v>
      </c>
      <c r="O84" s="163">
        <f t="shared" si="65"/>
        <v>118</v>
      </c>
      <c r="P84" s="163">
        <f t="shared" si="65"/>
        <v>245</v>
      </c>
      <c r="Q84" s="163">
        <f t="shared" ref="Q84:R84" si="66">Q81-Q83-Q85</f>
        <v>2813</v>
      </c>
      <c r="R84" s="163">
        <f t="shared" si="66"/>
        <v>4230</v>
      </c>
      <c r="S84" s="163">
        <f t="shared" ref="S84:T84" si="67">S81-S83-S85</f>
        <v>6337</v>
      </c>
      <c r="T84" s="163">
        <f t="shared" si="67"/>
        <v>6878</v>
      </c>
      <c r="U84" s="163">
        <f t="shared" ref="U84:V84" si="68">U81-U83-U85</f>
        <v>7008</v>
      </c>
      <c r="V84" s="163">
        <f t="shared" si="68"/>
        <v>7241</v>
      </c>
      <c r="W84" s="249">
        <v>7355</v>
      </c>
      <c r="X84" s="249"/>
      <c r="Y84" s="249"/>
      <c r="Z84" s="249"/>
      <c r="AA84" s="200"/>
      <c r="AB84" s="200"/>
      <c r="AC84" s="200"/>
      <c r="AD84" s="200"/>
      <c r="AE84" s="200"/>
      <c r="AF84" s="200"/>
      <c r="AG84" s="200"/>
      <c r="AH84" s="200"/>
      <c r="AI84" s="200"/>
      <c r="AJ84" s="200"/>
      <c r="AK84" s="255"/>
      <c r="AL84" s="202"/>
      <c r="AM84" s="203"/>
    </row>
    <row r="85" spans="1:39" x14ac:dyDescent="0.25">
      <c r="A85" s="61" t="s">
        <v>135</v>
      </c>
      <c r="B85" s="50"/>
      <c r="C85" s="51"/>
      <c r="D85" s="51"/>
      <c r="E85" s="51"/>
      <c r="F85" s="51"/>
      <c r="G85" s="51"/>
      <c r="H85" s="51"/>
      <c r="I85" s="79">
        <v>1</v>
      </c>
      <c r="J85" s="80">
        <v>2</v>
      </c>
      <c r="K85" s="64">
        <v>3</v>
      </c>
      <c r="L85" s="64">
        <v>5</v>
      </c>
      <c r="M85" s="64">
        <v>6</v>
      </c>
      <c r="N85" s="64">
        <v>7</v>
      </c>
      <c r="O85" s="64">
        <v>8</v>
      </c>
      <c r="P85" s="64">
        <v>16</v>
      </c>
      <c r="Q85" s="64">
        <v>50</v>
      </c>
      <c r="R85" s="64">
        <v>71</v>
      </c>
      <c r="S85" s="64">
        <v>98</v>
      </c>
      <c r="T85" s="64">
        <v>102</v>
      </c>
      <c r="U85" s="64">
        <v>104</v>
      </c>
      <c r="V85" s="64">
        <v>104</v>
      </c>
      <c r="W85" s="250">
        <v>104</v>
      </c>
      <c r="X85" s="250"/>
      <c r="Y85" s="250"/>
      <c r="Z85" s="250"/>
      <c r="AA85" s="201"/>
      <c r="AB85" s="201"/>
      <c r="AC85" s="201"/>
      <c r="AD85" s="201"/>
      <c r="AE85" s="201"/>
      <c r="AF85" s="201"/>
      <c r="AG85" s="201"/>
      <c r="AH85" s="201"/>
      <c r="AI85" s="201"/>
      <c r="AJ85" s="201"/>
      <c r="AK85" s="239"/>
      <c r="AL85" s="234"/>
      <c r="AM85" s="235"/>
    </row>
    <row r="86" spans="1:39" x14ac:dyDescent="0.25">
      <c r="B86" s="3"/>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row>
    <row r="87" spans="1:39" x14ac:dyDescent="0.25">
      <c r="A87" s="86" t="s">
        <v>141</v>
      </c>
      <c r="AI87" s="28"/>
    </row>
    <row r="88" spans="1:39" x14ac:dyDescent="0.25">
      <c r="A88" s="16" t="s">
        <v>1</v>
      </c>
      <c r="B88" s="69" t="s">
        <v>147</v>
      </c>
      <c r="C88" s="17" t="s">
        <v>4</v>
      </c>
      <c r="D88" s="69" t="s">
        <v>143</v>
      </c>
      <c r="E88" s="71"/>
      <c r="F88" s="71"/>
      <c r="G88" s="70" t="s">
        <v>3</v>
      </c>
      <c r="H88" s="21" t="s">
        <v>4</v>
      </c>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17"/>
      <c r="AM88" s="59"/>
    </row>
    <row r="89" spans="1:39" x14ac:dyDescent="0.25">
      <c r="A89" s="53" t="s">
        <v>13</v>
      </c>
      <c r="B89" s="25">
        <f>'ABS Population by Age Range'!D107</f>
        <v>4.0260989985204748E-2</v>
      </c>
      <c r="C89" s="24">
        <f>$B$43*B89</f>
        <v>1032050.2172807385</v>
      </c>
      <c r="D89" s="34">
        <f>'AU Infection Rate by Age'!E4</f>
        <v>3.372352285395764E-2</v>
      </c>
      <c r="E89" s="315"/>
      <c r="F89" s="315"/>
      <c r="G89" s="17"/>
      <c r="H89" s="28"/>
      <c r="I89" s="30">
        <f t="shared" ref="I89:AL89" si="69">I$57*$D$89</f>
        <v>1.0538600891861762</v>
      </c>
      <c r="J89" s="31">
        <f t="shared" si="69"/>
        <v>2.1077201783723525</v>
      </c>
      <c r="K89" s="31">
        <f t="shared" si="69"/>
        <v>4.215440356744705</v>
      </c>
      <c r="L89" s="31">
        <f t="shared" si="69"/>
        <v>8.4308807134894099</v>
      </c>
      <c r="M89" s="31">
        <f t="shared" si="69"/>
        <v>16.86176142697882</v>
      </c>
      <c r="N89" s="31">
        <f t="shared" si="69"/>
        <v>33.72352285395764</v>
      </c>
      <c r="O89" s="31">
        <f t="shared" si="69"/>
        <v>67.447045707915279</v>
      </c>
      <c r="P89" s="31">
        <f t="shared" si="69"/>
        <v>134.89409141583056</v>
      </c>
      <c r="Q89" s="31">
        <f t="shared" si="69"/>
        <v>202.34113712374582</v>
      </c>
      <c r="R89" s="31">
        <f t="shared" si="69"/>
        <v>222.57525083612043</v>
      </c>
      <c r="S89" s="31">
        <f t="shared" si="69"/>
        <v>236.06465997770349</v>
      </c>
      <c r="T89" s="31">
        <f t="shared" si="69"/>
        <v>249.55406911928654</v>
      </c>
      <c r="U89" s="31">
        <f t="shared" si="69"/>
        <v>263.04347826086956</v>
      </c>
      <c r="V89" s="31">
        <f t="shared" si="69"/>
        <v>269.78818283166112</v>
      </c>
      <c r="W89" s="31">
        <f t="shared" si="69"/>
        <v>431.66109253065781</v>
      </c>
      <c r="X89" s="31">
        <f t="shared" si="69"/>
        <v>593.53400222965445</v>
      </c>
      <c r="Y89" s="31">
        <f t="shared" si="69"/>
        <v>755.40691192865108</v>
      </c>
      <c r="Z89" s="31">
        <f t="shared" si="69"/>
        <v>917.27982162764783</v>
      </c>
      <c r="AA89" s="31">
        <f t="shared" si="69"/>
        <v>539.57636566332224</v>
      </c>
      <c r="AB89" s="31">
        <f t="shared" si="69"/>
        <v>1079.1527313266445</v>
      </c>
      <c r="AC89" s="31">
        <f t="shared" si="69"/>
        <v>2158.3054626532889</v>
      </c>
      <c r="AD89" s="31">
        <f t="shared" si="69"/>
        <v>4316.6109253065779</v>
      </c>
      <c r="AE89" s="31">
        <f t="shared" si="69"/>
        <v>8633.2218506131558</v>
      </c>
      <c r="AF89" s="31">
        <f t="shared" si="69"/>
        <v>17266.443701226312</v>
      </c>
      <c r="AG89" s="31">
        <f t="shared" si="69"/>
        <v>34532.887402452623</v>
      </c>
      <c r="AH89" s="31">
        <f t="shared" si="69"/>
        <v>69065.774804905246</v>
      </c>
      <c r="AI89" s="31">
        <f t="shared" si="69"/>
        <v>138131.54960981049</v>
      </c>
      <c r="AJ89" s="72">
        <f t="shared" si="69"/>
        <v>276263.09921962098</v>
      </c>
      <c r="AK89" s="31">
        <f t="shared" si="69"/>
        <v>552526.19843924197</v>
      </c>
      <c r="AL89" s="72">
        <f t="shared" si="69"/>
        <v>864468.78483835014</v>
      </c>
      <c r="AM89" s="57"/>
    </row>
    <row r="90" spans="1:39" x14ac:dyDescent="0.25">
      <c r="A90" s="53"/>
      <c r="B90" s="18"/>
      <c r="C90" s="22"/>
      <c r="D90" s="20"/>
      <c r="E90" s="27"/>
      <c r="F90" s="27"/>
      <c r="G90" s="39">
        <f>'AU Infection Rate by Age'!F18</f>
        <v>0.22727272727272727</v>
      </c>
      <c r="H90" s="22"/>
      <c r="I90" s="41">
        <f t="shared" ref="I90:V90" si="70">I$57*$D$89*$G$90</f>
        <v>0.23951365663322186</v>
      </c>
      <c r="J90" s="42">
        <f t="shared" si="70"/>
        <v>0.47902731326644371</v>
      </c>
      <c r="K90" s="42">
        <f t="shared" si="70"/>
        <v>0.95805462653288742</v>
      </c>
      <c r="L90" s="42">
        <f t="shared" si="70"/>
        <v>1.9161092530657748</v>
      </c>
      <c r="M90" s="42">
        <f t="shared" si="70"/>
        <v>3.8322185061315497</v>
      </c>
      <c r="N90" s="42">
        <f t="shared" si="70"/>
        <v>7.6644370122630994</v>
      </c>
      <c r="O90" s="42">
        <f t="shared" si="70"/>
        <v>15.328874024526199</v>
      </c>
      <c r="P90" s="42">
        <f t="shared" si="70"/>
        <v>30.657748049052397</v>
      </c>
      <c r="Q90" s="42">
        <f t="shared" si="70"/>
        <v>45.986622073578594</v>
      </c>
      <c r="R90" s="42">
        <f t="shared" si="70"/>
        <v>50.585284280936463</v>
      </c>
      <c r="S90" s="42">
        <f t="shared" si="70"/>
        <v>53.651059085841702</v>
      </c>
      <c r="T90" s="42">
        <f t="shared" si="70"/>
        <v>56.71683389074694</v>
      </c>
      <c r="U90" s="42">
        <f t="shared" si="70"/>
        <v>59.782608695652172</v>
      </c>
      <c r="V90" s="42">
        <f t="shared" si="70"/>
        <v>61.315496098104795</v>
      </c>
      <c r="W90" s="42">
        <f t="shared" ref="W90:Z90" si="71">W$57*$D$89*$G$90</f>
        <v>98.10479375696768</v>
      </c>
      <c r="X90" s="42">
        <f t="shared" si="71"/>
        <v>134.89409141583056</v>
      </c>
      <c r="Y90" s="42">
        <f t="shared" si="71"/>
        <v>171.68338907469342</v>
      </c>
      <c r="Z90" s="42">
        <f t="shared" si="71"/>
        <v>208.47268673355632</v>
      </c>
      <c r="AA90" s="42">
        <f t="shared" ref="AA90:AL90" si="72">AA$57*$D$89*$G$90</f>
        <v>122.63099219620959</v>
      </c>
      <c r="AB90" s="42">
        <f t="shared" si="72"/>
        <v>245.26198439241918</v>
      </c>
      <c r="AC90" s="42">
        <f t="shared" si="72"/>
        <v>490.52396878483836</v>
      </c>
      <c r="AD90" s="42">
        <f t="shared" si="72"/>
        <v>981.04793756967672</v>
      </c>
      <c r="AE90" s="42">
        <f t="shared" si="72"/>
        <v>1962.0958751393534</v>
      </c>
      <c r="AF90" s="42">
        <f t="shared" si="72"/>
        <v>3924.1917502787069</v>
      </c>
      <c r="AG90" s="42">
        <f t="shared" si="72"/>
        <v>7848.3835005574138</v>
      </c>
      <c r="AH90" s="42">
        <f t="shared" si="72"/>
        <v>15696.767001114828</v>
      </c>
      <c r="AI90" s="42">
        <f t="shared" si="72"/>
        <v>31393.534002229655</v>
      </c>
      <c r="AJ90" s="83">
        <f t="shared" si="72"/>
        <v>62787.06800445931</v>
      </c>
      <c r="AK90" s="42">
        <f t="shared" si="72"/>
        <v>125574.13600891862</v>
      </c>
      <c r="AL90" s="83">
        <f t="shared" si="72"/>
        <v>196470.1783723523</v>
      </c>
      <c r="AM90" s="57"/>
    </row>
    <row r="91" spans="1:39" x14ac:dyDescent="0.25">
      <c r="A91" s="53" t="s">
        <v>14</v>
      </c>
      <c r="B91" s="18">
        <f>'ABS Population by Age Range'!D97</f>
        <v>7.065336711718416E-2</v>
      </c>
      <c r="C91" s="22">
        <f t="shared" ref="C91:C105" si="73">$B$43*B91</f>
        <v>1811128.4126818988</v>
      </c>
      <c r="D91" s="35">
        <f>'AU Infection Rate by Age'!E5</f>
        <v>0.10521181716833891</v>
      </c>
      <c r="E91" s="36"/>
      <c r="F91" s="36"/>
      <c r="G91" s="29"/>
      <c r="H91" s="28"/>
      <c r="I91" s="32">
        <f t="shared" ref="I91:AL91" si="74">I$57*$D$91</f>
        <v>3.287869286510591</v>
      </c>
      <c r="J91" s="33">
        <f t="shared" si="74"/>
        <v>6.5757385730211819</v>
      </c>
      <c r="K91" s="33">
        <f t="shared" si="74"/>
        <v>13.151477146042364</v>
      </c>
      <c r="L91" s="33">
        <f t="shared" si="74"/>
        <v>26.302954292084728</v>
      </c>
      <c r="M91" s="33">
        <f t="shared" si="74"/>
        <v>52.605908584169455</v>
      </c>
      <c r="N91" s="33">
        <f t="shared" si="74"/>
        <v>105.21181716833891</v>
      </c>
      <c r="O91" s="33">
        <f t="shared" si="74"/>
        <v>210.42363433667782</v>
      </c>
      <c r="P91" s="33">
        <f t="shared" si="74"/>
        <v>420.84726867335564</v>
      </c>
      <c r="Q91" s="33">
        <f t="shared" si="74"/>
        <v>631.27090301003352</v>
      </c>
      <c r="R91" s="33">
        <f t="shared" si="74"/>
        <v>694.39799331103677</v>
      </c>
      <c r="S91" s="33">
        <f t="shared" si="74"/>
        <v>736.48272017837235</v>
      </c>
      <c r="T91" s="33">
        <f t="shared" si="74"/>
        <v>778.56744704570792</v>
      </c>
      <c r="U91" s="33">
        <f t="shared" si="74"/>
        <v>820.6521739130435</v>
      </c>
      <c r="V91" s="33">
        <f t="shared" si="74"/>
        <v>841.69453734671129</v>
      </c>
      <c r="W91" s="33">
        <f t="shared" si="74"/>
        <v>1346.711259754738</v>
      </c>
      <c r="X91" s="33">
        <f t="shared" si="74"/>
        <v>1851.7279821627649</v>
      </c>
      <c r="Y91" s="33">
        <f t="shared" si="74"/>
        <v>2356.7447045707918</v>
      </c>
      <c r="Z91" s="33">
        <f t="shared" si="74"/>
        <v>2861.7614269788182</v>
      </c>
      <c r="AA91" s="33">
        <f t="shared" si="74"/>
        <v>1683.3890746934226</v>
      </c>
      <c r="AB91" s="33">
        <f t="shared" si="74"/>
        <v>3366.7781493868451</v>
      </c>
      <c r="AC91" s="33">
        <f t="shared" si="74"/>
        <v>6733.5562987736903</v>
      </c>
      <c r="AD91" s="33">
        <f t="shared" si="74"/>
        <v>13467.112597547381</v>
      </c>
      <c r="AE91" s="33">
        <f t="shared" si="74"/>
        <v>26934.225195094761</v>
      </c>
      <c r="AF91" s="33">
        <f t="shared" si="74"/>
        <v>53868.450390189522</v>
      </c>
      <c r="AG91" s="33">
        <f t="shared" si="74"/>
        <v>107736.90078037904</v>
      </c>
      <c r="AH91" s="33">
        <f t="shared" si="74"/>
        <v>215473.80156075809</v>
      </c>
      <c r="AI91" s="33">
        <f t="shared" si="74"/>
        <v>430947.60312151618</v>
      </c>
      <c r="AJ91" s="84">
        <f t="shared" si="74"/>
        <v>861895.20624303236</v>
      </c>
      <c r="AK91" s="33">
        <f t="shared" si="74"/>
        <v>1723790.4124860647</v>
      </c>
      <c r="AL91" s="84">
        <f t="shared" si="74"/>
        <v>2696999.7212931998</v>
      </c>
      <c r="AM91" s="57"/>
    </row>
    <row r="92" spans="1:39" x14ac:dyDescent="0.25">
      <c r="A92" s="53"/>
      <c r="B92" s="18"/>
      <c r="C92" s="22"/>
      <c r="D92" s="20"/>
      <c r="E92" s="27"/>
      <c r="F92" s="27"/>
      <c r="G92" s="39">
        <f>'AU Infection Rate by Age'!F19</f>
        <v>4.5033112582781455E-2</v>
      </c>
      <c r="H92" s="22"/>
      <c r="I92" s="41">
        <f t="shared" ref="I92:AL92" si="75">I$57*$D$91*$G$92</f>
        <v>0.14806298773690077</v>
      </c>
      <c r="J92" s="42">
        <f t="shared" si="75"/>
        <v>0.29612597547380154</v>
      </c>
      <c r="K92" s="42">
        <f t="shared" si="75"/>
        <v>0.59225195094760308</v>
      </c>
      <c r="L92" s="42">
        <f t="shared" si="75"/>
        <v>1.1845039018952062</v>
      </c>
      <c r="M92" s="42">
        <f t="shared" si="75"/>
        <v>2.3690078037904123</v>
      </c>
      <c r="N92" s="42">
        <f t="shared" si="75"/>
        <v>4.7380156075808246</v>
      </c>
      <c r="O92" s="42">
        <f t="shared" si="75"/>
        <v>9.4760312151616493</v>
      </c>
      <c r="P92" s="42">
        <f t="shared" si="75"/>
        <v>18.952062430323299</v>
      </c>
      <c r="Q92" s="42">
        <f t="shared" si="75"/>
        <v>28.428093645484953</v>
      </c>
      <c r="R92" s="42">
        <f t="shared" si="75"/>
        <v>31.270903010033443</v>
      </c>
      <c r="S92" s="42">
        <f t="shared" si="75"/>
        <v>33.16610925306577</v>
      </c>
      <c r="T92" s="42">
        <f t="shared" si="75"/>
        <v>35.061315496098103</v>
      </c>
      <c r="U92" s="42">
        <f t="shared" si="75"/>
        <v>36.956521739130437</v>
      </c>
      <c r="V92" s="42">
        <f t="shared" si="75"/>
        <v>37.904124860646597</v>
      </c>
      <c r="W92" s="42">
        <f t="shared" si="75"/>
        <v>60.646599777034552</v>
      </c>
      <c r="X92" s="42">
        <f t="shared" si="75"/>
        <v>83.389074693422515</v>
      </c>
      <c r="Y92" s="42">
        <f t="shared" si="75"/>
        <v>106.13154960981049</v>
      </c>
      <c r="Z92" s="42">
        <f t="shared" si="75"/>
        <v>128.87402452619844</v>
      </c>
      <c r="AA92" s="42">
        <f t="shared" si="75"/>
        <v>75.808249721293194</v>
      </c>
      <c r="AB92" s="42">
        <f t="shared" si="75"/>
        <v>151.61649944258639</v>
      </c>
      <c r="AC92" s="42">
        <f t="shared" si="75"/>
        <v>303.23299888517278</v>
      </c>
      <c r="AD92" s="42">
        <f t="shared" si="75"/>
        <v>606.46599777034555</v>
      </c>
      <c r="AE92" s="42">
        <f t="shared" si="75"/>
        <v>1212.9319955406911</v>
      </c>
      <c r="AF92" s="42">
        <f t="shared" si="75"/>
        <v>2425.8639910813822</v>
      </c>
      <c r="AG92" s="42">
        <f t="shared" si="75"/>
        <v>4851.7279821627644</v>
      </c>
      <c r="AH92" s="42">
        <f t="shared" si="75"/>
        <v>9703.4559643255288</v>
      </c>
      <c r="AI92" s="42">
        <f t="shared" si="75"/>
        <v>19406.911928651058</v>
      </c>
      <c r="AJ92" s="83">
        <f t="shared" si="75"/>
        <v>38813.823857302115</v>
      </c>
      <c r="AK92" s="42">
        <f t="shared" si="75"/>
        <v>77627.647714604231</v>
      </c>
      <c r="AL92" s="83">
        <f t="shared" si="75"/>
        <v>121454.29208472687</v>
      </c>
      <c r="AM92" s="57"/>
    </row>
    <row r="93" spans="1:39" x14ac:dyDescent="0.25">
      <c r="A93" s="53" t="s">
        <v>15</v>
      </c>
      <c r="B93" s="18">
        <f>'ABS Population by Age Range'!D85</f>
        <v>0.10301766910746854</v>
      </c>
      <c r="C93" s="22">
        <f t="shared" si="73"/>
        <v>2640754.9299008488</v>
      </c>
      <c r="D93" s="35">
        <f>'AU Infection Rate by Age'!E6</f>
        <v>0.16234671125975475</v>
      </c>
      <c r="E93" s="36"/>
      <c r="F93" s="36"/>
      <c r="G93" s="29"/>
      <c r="H93" s="22"/>
      <c r="I93" s="32">
        <f t="shared" ref="I93:AL93" si="76">I$57*$D$93</f>
        <v>5.0733347268673361</v>
      </c>
      <c r="J93" s="33">
        <f t="shared" si="76"/>
        <v>10.146669453734672</v>
      </c>
      <c r="K93" s="33">
        <f t="shared" si="76"/>
        <v>20.293338907469344</v>
      </c>
      <c r="L93" s="33">
        <f t="shared" si="76"/>
        <v>40.586677814938689</v>
      </c>
      <c r="M93" s="33">
        <f t="shared" si="76"/>
        <v>81.173355629877378</v>
      </c>
      <c r="N93" s="33">
        <f t="shared" si="76"/>
        <v>162.34671125975476</v>
      </c>
      <c r="O93" s="33">
        <f t="shared" si="76"/>
        <v>324.69342251950951</v>
      </c>
      <c r="P93" s="33">
        <f t="shared" si="76"/>
        <v>649.38684503901902</v>
      </c>
      <c r="Q93" s="33">
        <f t="shared" si="76"/>
        <v>974.08026755852848</v>
      </c>
      <c r="R93" s="33">
        <f t="shared" si="76"/>
        <v>1071.4882943143814</v>
      </c>
      <c r="S93" s="33">
        <f t="shared" si="76"/>
        <v>1136.4269788182833</v>
      </c>
      <c r="T93" s="33">
        <f t="shared" si="76"/>
        <v>1201.3656633221851</v>
      </c>
      <c r="U93" s="33">
        <f t="shared" si="76"/>
        <v>1266.304347826087</v>
      </c>
      <c r="V93" s="33">
        <f t="shared" si="76"/>
        <v>1298.773690078038</v>
      </c>
      <c r="W93" s="33">
        <f t="shared" si="76"/>
        <v>2078.0379041248607</v>
      </c>
      <c r="X93" s="33">
        <f t="shared" si="76"/>
        <v>2857.3021181716836</v>
      </c>
      <c r="Y93" s="33">
        <f t="shared" si="76"/>
        <v>3636.5663322185064</v>
      </c>
      <c r="Z93" s="33">
        <f t="shared" si="76"/>
        <v>4415.8305462653288</v>
      </c>
      <c r="AA93" s="33">
        <f t="shared" si="76"/>
        <v>2597.5473801560761</v>
      </c>
      <c r="AB93" s="33">
        <f t="shared" si="76"/>
        <v>5195.0947603121522</v>
      </c>
      <c r="AC93" s="33">
        <f t="shared" si="76"/>
        <v>10390.189520624304</v>
      </c>
      <c r="AD93" s="33">
        <f t="shared" si="76"/>
        <v>20780.379041248609</v>
      </c>
      <c r="AE93" s="33">
        <f t="shared" si="76"/>
        <v>41560.758082497217</v>
      </c>
      <c r="AF93" s="33">
        <f t="shared" si="76"/>
        <v>83121.516164994435</v>
      </c>
      <c r="AG93" s="33">
        <f t="shared" si="76"/>
        <v>166243.03232998887</v>
      </c>
      <c r="AH93" s="33">
        <f t="shared" si="76"/>
        <v>332486.06465997774</v>
      </c>
      <c r="AI93" s="33">
        <f t="shared" si="76"/>
        <v>664972.12931995548</v>
      </c>
      <c r="AJ93" s="84">
        <f t="shared" si="76"/>
        <v>1329944.258639911</v>
      </c>
      <c r="AK93" s="33">
        <f t="shared" si="76"/>
        <v>2659888.5172798219</v>
      </c>
      <c r="AL93" s="84">
        <f t="shared" si="76"/>
        <v>4161595.5964325531</v>
      </c>
      <c r="AM93" s="57"/>
    </row>
    <row r="94" spans="1:39" x14ac:dyDescent="0.25">
      <c r="A94" s="53"/>
      <c r="B94" s="18"/>
      <c r="C94" s="22"/>
      <c r="D94" s="20"/>
      <c r="E94" s="27"/>
      <c r="F94" s="27"/>
      <c r="G94" s="39">
        <f>'AU Infection Rate by Age'!F20</f>
        <v>8.5836909871244635E-3</v>
      </c>
      <c r="H94" s="22"/>
      <c r="I94" s="41">
        <f t="shared" ref="I94:AL94" si="77">I$57*$D$93*$G$94</f>
        <v>4.3547937569676703E-2</v>
      </c>
      <c r="J94" s="42">
        <f t="shared" si="77"/>
        <v>8.7095875139353407E-2</v>
      </c>
      <c r="K94" s="42">
        <f t="shared" si="77"/>
        <v>0.17419175027870681</v>
      </c>
      <c r="L94" s="42">
        <f t="shared" si="77"/>
        <v>0.34838350055741363</v>
      </c>
      <c r="M94" s="42">
        <f t="shared" si="77"/>
        <v>0.69676700111482726</v>
      </c>
      <c r="N94" s="42">
        <f t="shared" si="77"/>
        <v>1.3935340022296545</v>
      </c>
      <c r="O94" s="42">
        <f t="shared" si="77"/>
        <v>2.787068004459309</v>
      </c>
      <c r="P94" s="42">
        <f t="shared" si="77"/>
        <v>5.574136008918618</v>
      </c>
      <c r="Q94" s="42">
        <f t="shared" si="77"/>
        <v>8.3612040133779271</v>
      </c>
      <c r="R94" s="42">
        <f t="shared" si="77"/>
        <v>9.1973244147157196</v>
      </c>
      <c r="S94" s="42">
        <f t="shared" si="77"/>
        <v>9.7547380156075825</v>
      </c>
      <c r="T94" s="42">
        <f t="shared" si="77"/>
        <v>10.312151616499444</v>
      </c>
      <c r="U94" s="42">
        <f t="shared" si="77"/>
        <v>10.869565217391305</v>
      </c>
      <c r="V94" s="42">
        <f t="shared" si="77"/>
        <v>11.148272017837236</v>
      </c>
      <c r="W94" s="42">
        <f t="shared" si="77"/>
        <v>17.837235228539576</v>
      </c>
      <c r="X94" s="42">
        <f t="shared" si="77"/>
        <v>24.52619843924192</v>
      </c>
      <c r="Y94" s="42">
        <f t="shared" si="77"/>
        <v>31.21516164994426</v>
      </c>
      <c r="Z94" s="42">
        <f t="shared" si="77"/>
        <v>37.904124860646597</v>
      </c>
      <c r="AA94" s="42">
        <f t="shared" si="77"/>
        <v>22.296544035674472</v>
      </c>
      <c r="AB94" s="42">
        <f t="shared" si="77"/>
        <v>44.593088071348944</v>
      </c>
      <c r="AC94" s="42">
        <f t="shared" si="77"/>
        <v>89.186176142697889</v>
      </c>
      <c r="AD94" s="42">
        <f t="shared" si="77"/>
        <v>178.37235228539578</v>
      </c>
      <c r="AE94" s="42">
        <f t="shared" si="77"/>
        <v>356.74470457079155</v>
      </c>
      <c r="AF94" s="42">
        <f t="shared" si="77"/>
        <v>713.48940914158311</v>
      </c>
      <c r="AG94" s="42">
        <f t="shared" si="77"/>
        <v>1426.9788182831662</v>
      </c>
      <c r="AH94" s="42">
        <f t="shared" si="77"/>
        <v>2853.9576365663324</v>
      </c>
      <c r="AI94" s="42">
        <f t="shared" si="77"/>
        <v>5707.9152731326649</v>
      </c>
      <c r="AJ94" s="83">
        <f t="shared" si="77"/>
        <v>11415.83054626533</v>
      </c>
      <c r="AK94" s="42">
        <f t="shared" si="77"/>
        <v>22831.66109253066</v>
      </c>
      <c r="AL94" s="83">
        <f t="shared" si="77"/>
        <v>35721.850613154966</v>
      </c>
      <c r="AM94" s="57"/>
    </row>
    <row r="95" spans="1:39" x14ac:dyDescent="0.25">
      <c r="A95" s="53" t="s">
        <v>16</v>
      </c>
      <c r="B95" s="18">
        <f>'ABS Population by Age Range'!D73</f>
        <v>0.12142789925761971</v>
      </c>
      <c r="C95" s="22">
        <f t="shared" si="73"/>
        <v>3112682.7695698235</v>
      </c>
      <c r="D95" s="35">
        <f>'AU Infection Rate by Age'!E7</f>
        <v>0.15774804905239687</v>
      </c>
      <c r="E95" s="36"/>
      <c r="F95" s="36"/>
      <c r="G95" s="29"/>
      <c r="H95" s="22"/>
      <c r="I95" s="32">
        <f t="shared" ref="I95:AL95" si="78">I$57*$D$95</f>
        <v>4.9296265328874025</v>
      </c>
      <c r="J95" s="33">
        <f t="shared" si="78"/>
        <v>9.859253065774805</v>
      </c>
      <c r="K95" s="33">
        <f t="shared" si="78"/>
        <v>19.71850613154961</v>
      </c>
      <c r="L95" s="33">
        <f t="shared" si="78"/>
        <v>39.43701226309922</v>
      </c>
      <c r="M95" s="33">
        <f t="shared" si="78"/>
        <v>78.87402452619844</v>
      </c>
      <c r="N95" s="33">
        <f t="shared" si="78"/>
        <v>157.74804905239688</v>
      </c>
      <c r="O95" s="33">
        <f t="shared" si="78"/>
        <v>315.49609810479376</v>
      </c>
      <c r="P95" s="33">
        <f t="shared" si="78"/>
        <v>630.99219620958752</v>
      </c>
      <c r="Q95" s="33">
        <f t="shared" si="78"/>
        <v>946.48829431438116</v>
      </c>
      <c r="R95" s="33">
        <f t="shared" si="78"/>
        <v>1041.1371237458193</v>
      </c>
      <c r="S95" s="33">
        <f t="shared" si="78"/>
        <v>1104.2363433667781</v>
      </c>
      <c r="T95" s="33">
        <f t="shared" si="78"/>
        <v>1167.3355629877369</v>
      </c>
      <c r="U95" s="33">
        <f t="shared" si="78"/>
        <v>1230.4347826086955</v>
      </c>
      <c r="V95" s="33">
        <f t="shared" si="78"/>
        <v>1261.984392419175</v>
      </c>
      <c r="W95" s="33">
        <f t="shared" si="78"/>
        <v>2019.17502787068</v>
      </c>
      <c r="X95" s="33">
        <f t="shared" si="78"/>
        <v>2776.3656633221849</v>
      </c>
      <c r="Y95" s="33">
        <f t="shared" si="78"/>
        <v>3533.5562987736898</v>
      </c>
      <c r="Z95" s="33">
        <f t="shared" si="78"/>
        <v>4290.7469342251943</v>
      </c>
      <c r="AA95" s="33">
        <f t="shared" si="78"/>
        <v>2523.9687848383501</v>
      </c>
      <c r="AB95" s="33">
        <f t="shared" si="78"/>
        <v>5047.9375696767002</v>
      </c>
      <c r="AC95" s="33">
        <f t="shared" si="78"/>
        <v>10095.8751393534</v>
      </c>
      <c r="AD95" s="33">
        <f t="shared" si="78"/>
        <v>20191.750278706801</v>
      </c>
      <c r="AE95" s="33">
        <f t="shared" si="78"/>
        <v>40383.500557413601</v>
      </c>
      <c r="AF95" s="33">
        <f t="shared" si="78"/>
        <v>80767.001114827202</v>
      </c>
      <c r="AG95" s="33">
        <f t="shared" si="78"/>
        <v>161534.0022296544</v>
      </c>
      <c r="AH95" s="33">
        <f t="shared" si="78"/>
        <v>323068.00445930881</v>
      </c>
      <c r="AI95" s="33">
        <f t="shared" si="78"/>
        <v>646136.00891861762</v>
      </c>
      <c r="AJ95" s="84">
        <f t="shared" si="78"/>
        <v>1292272.0178372352</v>
      </c>
      <c r="AK95" s="33">
        <f t="shared" si="78"/>
        <v>2584544.0356744705</v>
      </c>
      <c r="AL95" s="84">
        <f t="shared" si="78"/>
        <v>4043713.4894091412</v>
      </c>
      <c r="AM95" s="57"/>
    </row>
    <row r="96" spans="1:39" x14ac:dyDescent="0.25">
      <c r="A96" s="53"/>
      <c r="B96" s="18"/>
      <c r="C96" s="22"/>
      <c r="D96" s="20"/>
      <c r="E96" s="27"/>
      <c r="F96" s="27"/>
      <c r="G96" s="39">
        <f>'AU Infection Rate by Age'!F21</f>
        <v>1.7667844522968198E-3</v>
      </c>
      <c r="H96" s="22"/>
      <c r="I96" s="41">
        <f t="shared" ref="I96:AL96" si="79">I$57*$D$95*$G$96</f>
        <v>8.70958751393534E-3</v>
      </c>
      <c r="J96" s="42">
        <f t="shared" si="79"/>
        <v>1.741917502787068E-2</v>
      </c>
      <c r="K96" s="42">
        <f t="shared" si="79"/>
        <v>3.483835005574136E-2</v>
      </c>
      <c r="L96" s="42">
        <f t="shared" si="79"/>
        <v>6.967670011148272E-2</v>
      </c>
      <c r="M96" s="42">
        <f t="shared" si="79"/>
        <v>0.13935340022296544</v>
      </c>
      <c r="N96" s="42">
        <f t="shared" si="79"/>
        <v>0.27870680044593088</v>
      </c>
      <c r="O96" s="42">
        <f t="shared" si="79"/>
        <v>0.55741360089186176</v>
      </c>
      <c r="P96" s="42">
        <f t="shared" si="79"/>
        <v>1.1148272017837235</v>
      </c>
      <c r="Q96" s="42">
        <f t="shared" si="79"/>
        <v>1.6722408026755851</v>
      </c>
      <c r="R96" s="42">
        <f t="shared" si="79"/>
        <v>1.8394648829431435</v>
      </c>
      <c r="S96" s="42">
        <f t="shared" si="79"/>
        <v>1.950947603121516</v>
      </c>
      <c r="T96" s="42">
        <f t="shared" si="79"/>
        <v>2.0624303232998886</v>
      </c>
      <c r="U96" s="42">
        <f t="shared" si="79"/>
        <v>2.1739130434782608</v>
      </c>
      <c r="V96" s="42">
        <f t="shared" si="79"/>
        <v>2.229654403567447</v>
      </c>
      <c r="W96" s="42">
        <f t="shared" si="79"/>
        <v>3.5674470457079153</v>
      </c>
      <c r="X96" s="42">
        <f t="shared" si="79"/>
        <v>4.9052396878483835</v>
      </c>
      <c r="Y96" s="42">
        <f t="shared" si="79"/>
        <v>6.2430323299888508</v>
      </c>
      <c r="Z96" s="42">
        <f t="shared" si="79"/>
        <v>7.5808249721293182</v>
      </c>
      <c r="AA96" s="42">
        <f t="shared" si="79"/>
        <v>4.4593088071348941</v>
      </c>
      <c r="AB96" s="42">
        <f t="shared" si="79"/>
        <v>8.9186176142697882</v>
      </c>
      <c r="AC96" s="42">
        <f t="shared" si="79"/>
        <v>17.837235228539576</v>
      </c>
      <c r="AD96" s="42">
        <f t="shared" si="79"/>
        <v>35.674470457079153</v>
      </c>
      <c r="AE96" s="42">
        <f t="shared" si="79"/>
        <v>71.348940914158305</v>
      </c>
      <c r="AF96" s="42">
        <f t="shared" si="79"/>
        <v>142.69788182831661</v>
      </c>
      <c r="AG96" s="42">
        <f t="shared" si="79"/>
        <v>285.39576365663322</v>
      </c>
      <c r="AH96" s="42">
        <f t="shared" si="79"/>
        <v>570.79152731326644</v>
      </c>
      <c r="AI96" s="42">
        <f t="shared" si="79"/>
        <v>1141.5830546265329</v>
      </c>
      <c r="AJ96" s="83">
        <f t="shared" si="79"/>
        <v>2283.1661092530658</v>
      </c>
      <c r="AK96" s="42">
        <f t="shared" si="79"/>
        <v>4566.3322185061315</v>
      </c>
      <c r="AL96" s="83">
        <f t="shared" si="79"/>
        <v>7144.3701226309913</v>
      </c>
      <c r="AM96" s="57"/>
    </row>
    <row r="97" spans="1:39" x14ac:dyDescent="0.25">
      <c r="A97" s="53" t="s">
        <v>17</v>
      </c>
      <c r="B97" s="18">
        <f>'ABS Population by Age Range'!D61</f>
        <v>0.12908272398046944</v>
      </c>
      <c r="C97" s="22">
        <f t="shared" si="73"/>
        <v>3308906.5465153535</v>
      </c>
      <c r="D97" s="35">
        <f>'AU Infection Rate by Age'!E8</f>
        <v>0.1273690078037904</v>
      </c>
      <c r="E97" s="36"/>
      <c r="F97" s="36"/>
      <c r="G97" s="29"/>
      <c r="H97" s="22"/>
      <c r="I97" s="32">
        <f t="shared" ref="I97:AL97" si="80">I$57*$D$97</f>
        <v>3.9802814938684499</v>
      </c>
      <c r="J97" s="33">
        <f t="shared" si="80"/>
        <v>7.9605629877368997</v>
      </c>
      <c r="K97" s="33">
        <f t="shared" si="80"/>
        <v>15.921125975473799</v>
      </c>
      <c r="L97" s="33">
        <f t="shared" si="80"/>
        <v>31.842251950947599</v>
      </c>
      <c r="M97" s="33">
        <f t="shared" si="80"/>
        <v>63.684503901895198</v>
      </c>
      <c r="N97" s="33">
        <f t="shared" si="80"/>
        <v>127.3690078037904</v>
      </c>
      <c r="O97" s="33">
        <f t="shared" si="80"/>
        <v>254.73801560758079</v>
      </c>
      <c r="P97" s="33">
        <f t="shared" si="80"/>
        <v>509.47603121516158</v>
      </c>
      <c r="Q97" s="33">
        <f t="shared" si="80"/>
        <v>764.21404682274238</v>
      </c>
      <c r="R97" s="33">
        <f t="shared" si="80"/>
        <v>840.6354515050167</v>
      </c>
      <c r="S97" s="33">
        <f t="shared" si="80"/>
        <v>891.58305462653277</v>
      </c>
      <c r="T97" s="33">
        <f t="shared" si="80"/>
        <v>942.53065774804895</v>
      </c>
      <c r="U97" s="33">
        <f t="shared" si="80"/>
        <v>993.47826086956513</v>
      </c>
      <c r="V97" s="33">
        <f t="shared" si="80"/>
        <v>1018.9520624303232</v>
      </c>
      <c r="W97" s="33">
        <f t="shared" si="80"/>
        <v>1630.3232998885171</v>
      </c>
      <c r="X97" s="33">
        <f t="shared" si="80"/>
        <v>2241.6945373467111</v>
      </c>
      <c r="Y97" s="33">
        <f t="shared" si="80"/>
        <v>2853.0657748049048</v>
      </c>
      <c r="Z97" s="33">
        <f t="shared" si="80"/>
        <v>3464.4370122630989</v>
      </c>
      <c r="AA97" s="33">
        <f t="shared" si="80"/>
        <v>2037.9041248606463</v>
      </c>
      <c r="AB97" s="33">
        <f t="shared" si="80"/>
        <v>4075.8082497212927</v>
      </c>
      <c r="AC97" s="33">
        <f t="shared" si="80"/>
        <v>8151.6164994425853</v>
      </c>
      <c r="AD97" s="33">
        <f t="shared" si="80"/>
        <v>16303.232998885171</v>
      </c>
      <c r="AE97" s="33">
        <f t="shared" si="80"/>
        <v>32606.465997770341</v>
      </c>
      <c r="AF97" s="33">
        <f t="shared" si="80"/>
        <v>65212.931995540683</v>
      </c>
      <c r="AG97" s="33">
        <f t="shared" si="80"/>
        <v>130425.86399108137</v>
      </c>
      <c r="AH97" s="33">
        <f t="shared" si="80"/>
        <v>260851.72798216273</v>
      </c>
      <c r="AI97" s="33">
        <f t="shared" si="80"/>
        <v>521703.45596432546</v>
      </c>
      <c r="AJ97" s="84">
        <f t="shared" si="80"/>
        <v>1043406.9119286509</v>
      </c>
      <c r="AK97" s="33">
        <f t="shared" si="80"/>
        <v>2086813.8238573018</v>
      </c>
      <c r="AL97" s="84">
        <f t="shared" si="80"/>
        <v>3264977.1460423633</v>
      </c>
      <c r="AM97" s="57"/>
    </row>
    <row r="98" spans="1:39" x14ac:dyDescent="0.25">
      <c r="A98" s="53"/>
      <c r="B98" s="18"/>
      <c r="C98" s="22"/>
      <c r="D98" s="20"/>
      <c r="E98" s="27"/>
      <c r="F98" s="27"/>
      <c r="G98" s="39">
        <f>'AU Infection Rate by Age'!F22</f>
        <v>1.0940919037199124E-3</v>
      </c>
      <c r="H98" s="22"/>
      <c r="I98" s="41">
        <f t="shared" ref="I98:AL98" si="81">I$57*$D$97*$G$98</f>
        <v>4.3547937569676691E-3</v>
      </c>
      <c r="J98" s="42">
        <f t="shared" si="81"/>
        <v>8.7095875139353383E-3</v>
      </c>
      <c r="K98" s="42">
        <f t="shared" si="81"/>
        <v>1.7419175027870677E-2</v>
      </c>
      <c r="L98" s="42">
        <f t="shared" si="81"/>
        <v>3.4838350055741353E-2</v>
      </c>
      <c r="M98" s="42">
        <f t="shared" si="81"/>
        <v>6.9676700111482706E-2</v>
      </c>
      <c r="N98" s="42">
        <f t="shared" si="81"/>
        <v>0.13935340022296541</v>
      </c>
      <c r="O98" s="42">
        <f t="shared" si="81"/>
        <v>0.27870680044593082</v>
      </c>
      <c r="P98" s="42">
        <f t="shared" si="81"/>
        <v>0.55741360089186165</v>
      </c>
      <c r="Q98" s="42">
        <f t="shared" si="81"/>
        <v>0.83612040133779253</v>
      </c>
      <c r="R98" s="42">
        <f t="shared" si="81"/>
        <v>0.91973244147157185</v>
      </c>
      <c r="S98" s="42">
        <f t="shared" si="81"/>
        <v>0.97547380156075791</v>
      </c>
      <c r="T98" s="42">
        <f t="shared" si="81"/>
        <v>1.0312151616499441</v>
      </c>
      <c r="U98" s="42">
        <f t="shared" si="81"/>
        <v>1.0869565217391304</v>
      </c>
      <c r="V98" s="42">
        <f t="shared" si="81"/>
        <v>1.1148272017837233</v>
      </c>
      <c r="W98" s="42">
        <f t="shared" si="81"/>
        <v>1.7837235228539574</v>
      </c>
      <c r="X98" s="42">
        <f t="shared" si="81"/>
        <v>2.4526198439241913</v>
      </c>
      <c r="Y98" s="42">
        <f t="shared" si="81"/>
        <v>3.1215161649944254</v>
      </c>
      <c r="Z98" s="42">
        <f t="shared" si="81"/>
        <v>3.7904124860646595</v>
      </c>
      <c r="AA98" s="42">
        <f t="shared" si="81"/>
        <v>2.2296544035674466</v>
      </c>
      <c r="AB98" s="42">
        <f t="shared" si="81"/>
        <v>4.4593088071348932</v>
      </c>
      <c r="AC98" s="42">
        <f t="shared" si="81"/>
        <v>8.9186176142697864</v>
      </c>
      <c r="AD98" s="42">
        <f t="shared" si="81"/>
        <v>17.837235228539573</v>
      </c>
      <c r="AE98" s="42">
        <f t="shared" si="81"/>
        <v>35.674470457079146</v>
      </c>
      <c r="AF98" s="42">
        <f t="shared" si="81"/>
        <v>71.348940914158291</v>
      </c>
      <c r="AG98" s="42">
        <f t="shared" si="81"/>
        <v>142.69788182831658</v>
      </c>
      <c r="AH98" s="42">
        <f t="shared" si="81"/>
        <v>285.39576365663316</v>
      </c>
      <c r="AI98" s="42">
        <f t="shared" si="81"/>
        <v>570.79152731326633</v>
      </c>
      <c r="AJ98" s="83">
        <f t="shared" si="81"/>
        <v>1141.5830546265327</v>
      </c>
      <c r="AK98" s="42">
        <f t="shared" si="81"/>
        <v>2283.1661092530653</v>
      </c>
      <c r="AL98" s="83">
        <f t="shared" si="81"/>
        <v>3572.1850613154957</v>
      </c>
      <c r="AM98" s="57"/>
    </row>
    <row r="99" spans="1:39" x14ac:dyDescent="0.25">
      <c r="A99" s="53" t="s">
        <v>18</v>
      </c>
      <c r="B99" s="18">
        <f>'ABS Population by Age Range'!D49</f>
        <v>0.14481341657950456</v>
      </c>
      <c r="C99" s="22">
        <f t="shared" si="73"/>
        <v>3712147.1205990198</v>
      </c>
      <c r="D99" s="35">
        <f>'AU Infection Rate by Age'!E9</f>
        <v>0.15900222965440355</v>
      </c>
      <c r="E99" s="36"/>
      <c r="F99" s="36"/>
      <c r="G99" s="29"/>
      <c r="H99" s="22"/>
      <c r="I99" s="32">
        <f t="shared" ref="I99:AL99" si="82">I$57*$D$99</f>
        <v>4.9688196767001109</v>
      </c>
      <c r="J99" s="33">
        <f t="shared" si="82"/>
        <v>9.9376393534002219</v>
      </c>
      <c r="K99" s="33">
        <f t="shared" si="82"/>
        <v>19.875278706800444</v>
      </c>
      <c r="L99" s="33">
        <f t="shared" si="82"/>
        <v>39.750557413600887</v>
      </c>
      <c r="M99" s="33">
        <f t="shared" si="82"/>
        <v>79.501114827201775</v>
      </c>
      <c r="N99" s="33">
        <f t="shared" si="82"/>
        <v>159.00222965440355</v>
      </c>
      <c r="O99" s="33">
        <f t="shared" si="82"/>
        <v>318.0044593088071</v>
      </c>
      <c r="P99" s="33">
        <f t="shared" si="82"/>
        <v>636.0089186176142</v>
      </c>
      <c r="Q99" s="33">
        <f t="shared" si="82"/>
        <v>954.0133779264213</v>
      </c>
      <c r="R99" s="33">
        <f t="shared" si="82"/>
        <v>1049.4147157190635</v>
      </c>
      <c r="S99" s="33">
        <f t="shared" si="82"/>
        <v>1113.015607580825</v>
      </c>
      <c r="T99" s="33">
        <f t="shared" si="82"/>
        <v>1176.6164994425862</v>
      </c>
      <c r="U99" s="33">
        <f t="shared" si="82"/>
        <v>1240.2173913043478</v>
      </c>
      <c r="V99" s="33">
        <f t="shared" si="82"/>
        <v>1272.0178372352284</v>
      </c>
      <c r="W99" s="33">
        <f t="shared" si="82"/>
        <v>2035.2285395763654</v>
      </c>
      <c r="X99" s="33">
        <f t="shared" si="82"/>
        <v>2798.4392419175024</v>
      </c>
      <c r="Y99" s="33">
        <f t="shared" si="82"/>
        <v>3561.6499442586396</v>
      </c>
      <c r="Z99" s="33">
        <f t="shared" si="82"/>
        <v>4324.8606465997764</v>
      </c>
      <c r="AA99" s="33">
        <f t="shared" si="82"/>
        <v>2544.0356744704568</v>
      </c>
      <c r="AB99" s="33">
        <f t="shared" si="82"/>
        <v>5088.0713489409136</v>
      </c>
      <c r="AC99" s="33">
        <f t="shared" si="82"/>
        <v>10176.142697881827</v>
      </c>
      <c r="AD99" s="33">
        <f t="shared" si="82"/>
        <v>20352.285395763654</v>
      </c>
      <c r="AE99" s="33">
        <f t="shared" si="82"/>
        <v>40704.570791527309</v>
      </c>
      <c r="AF99" s="33">
        <f t="shared" si="82"/>
        <v>81409.141583054618</v>
      </c>
      <c r="AG99" s="33">
        <f t="shared" si="82"/>
        <v>162818.28316610924</v>
      </c>
      <c r="AH99" s="33">
        <f t="shared" si="82"/>
        <v>325636.56633221847</v>
      </c>
      <c r="AI99" s="33">
        <f t="shared" si="82"/>
        <v>651273.13266443694</v>
      </c>
      <c r="AJ99" s="84">
        <f t="shared" si="82"/>
        <v>1302546.2653288739</v>
      </c>
      <c r="AK99" s="33">
        <f t="shared" si="82"/>
        <v>2605092.5306577478</v>
      </c>
      <c r="AL99" s="84">
        <f t="shared" si="82"/>
        <v>4075863.1549609806</v>
      </c>
      <c r="AM99" s="57"/>
    </row>
    <row r="100" spans="1:39" x14ac:dyDescent="0.25">
      <c r="A100" s="53"/>
      <c r="B100" s="18"/>
      <c r="C100" s="22"/>
      <c r="D100" s="20"/>
      <c r="E100" s="27"/>
      <c r="F100" s="27"/>
      <c r="G100" s="39">
        <f>'AU Infection Rate by Age'!F23</f>
        <v>0</v>
      </c>
      <c r="H100" s="22"/>
      <c r="I100" s="41">
        <f t="shared" ref="I100:AL100" si="83">I$57*$D$99*$G$100</f>
        <v>0</v>
      </c>
      <c r="J100" s="42">
        <f t="shared" si="83"/>
        <v>0</v>
      </c>
      <c r="K100" s="42">
        <f t="shared" si="83"/>
        <v>0</v>
      </c>
      <c r="L100" s="42">
        <f t="shared" si="83"/>
        <v>0</v>
      </c>
      <c r="M100" s="42">
        <f t="shared" si="83"/>
        <v>0</v>
      </c>
      <c r="N100" s="42">
        <f t="shared" si="83"/>
        <v>0</v>
      </c>
      <c r="O100" s="42">
        <f t="shared" si="83"/>
        <v>0</v>
      </c>
      <c r="P100" s="42">
        <f t="shared" si="83"/>
        <v>0</v>
      </c>
      <c r="Q100" s="42">
        <f t="shared" si="83"/>
        <v>0</v>
      </c>
      <c r="R100" s="42">
        <f t="shared" si="83"/>
        <v>0</v>
      </c>
      <c r="S100" s="42">
        <f t="shared" si="83"/>
        <v>0</v>
      </c>
      <c r="T100" s="42">
        <f t="shared" si="83"/>
        <v>0</v>
      </c>
      <c r="U100" s="42">
        <f t="shared" si="83"/>
        <v>0</v>
      </c>
      <c r="V100" s="42">
        <f t="shared" si="83"/>
        <v>0</v>
      </c>
      <c r="W100" s="42">
        <f t="shared" si="83"/>
        <v>0</v>
      </c>
      <c r="X100" s="42">
        <f t="shared" si="83"/>
        <v>0</v>
      </c>
      <c r="Y100" s="42">
        <f t="shared" si="83"/>
        <v>0</v>
      </c>
      <c r="Z100" s="42">
        <f t="shared" si="83"/>
        <v>0</v>
      </c>
      <c r="AA100" s="42">
        <f t="shared" si="83"/>
        <v>0</v>
      </c>
      <c r="AB100" s="42">
        <f t="shared" si="83"/>
        <v>0</v>
      </c>
      <c r="AC100" s="42">
        <f t="shared" si="83"/>
        <v>0</v>
      </c>
      <c r="AD100" s="42">
        <f t="shared" si="83"/>
        <v>0</v>
      </c>
      <c r="AE100" s="42">
        <f t="shared" si="83"/>
        <v>0</v>
      </c>
      <c r="AF100" s="42">
        <f t="shared" si="83"/>
        <v>0</v>
      </c>
      <c r="AG100" s="42">
        <f t="shared" si="83"/>
        <v>0</v>
      </c>
      <c r="AH100" s="42">
        <f t="shared" si="83"/>
        <v>0</v>
      </c>
      <c r="AI100" s="42">
        <f t="shared" si="83"/>
        <v>0</v>
      </c>
      <c r="AJ100" s="83">
        <f t="shared" si="83"/>
        <v>0</v>
      </c>
      <c r="AK100" s="42">
        <f t="shared" si="83"/>
        <v>0</v>
      </c>
      <c r="AL100" s="83">
        <f t="shared" si="83"/>
        <v>0</v>
      </c>
      <c r="AM100" s="57"/>
    </row>
    <row r="101" spans="1:39" x14ac:dyDescent="0.25">
      <c r="A101" s="53" t="s">
        <v>19</v>
      </c>
      <c r="B101" s="18">
        <f>'ABS Population by Age Range'!D37</f>
        <v>0.14458334093878666</v>
      </c>
      <c r="C101" s="22">
        <f t="shared" si="73"/>
        <v>3706249.3616248574</v>
      </c>
      <c r="D101" s="35">
        <f>'AU Infection Rate by Age'!E10</f>
        <v>0.20791527313266445</v>
      </c>
      <c r="E101" s="36"/>
      <c r="F101" s="36"/>
      <c r="G101" s="29"/>
      <c r="H101" s="22"/>
      <c r="I101" s="32">
        <f t="shared" ref="I101:AL101" si="84">I$57*$D$101</f>
        <v>6.4973522853957641</v>
      </c>
      <c r="J101" s="33">
        <f t="shared" si="84"/>
        <v>12.994704570791528</v>
      </c>
      <c r="K101" s="33">
        <f t="shared" si="84"/>
        <v>25.989409141583057</v>
      </c>
      <c r="L101" s="33">
        <f t="shared" si="84"/>
        <v>51.978818283166113</v>
      </c>
      <c r="M101" s="33">
        <f t="shared" si="84"/>
        <v>103.95763656633223</v>
      </c>
      <c r="N101" s="33">
        <f t="shared" si="84"/>
        <v>207.91527313266445</v>
      </c>
      <c r="O101" s="33">
        <f t="shared" si="84"/>
        <v>415.83054626532891</v>
      </c>
      <c r="P101" s="33">
        <f t="shared" si="84"/>
        <v>831.66109253065781</v>
      </c>
      <c r="Q101" s="33">
        <f t="shared" si="84"/>
        <v>1247.4916387959868</v>
      </c>
      <c r="R101" s="33">
        <f t="shared" si="84"/>
        <v>1372.2408026755854</v>
      </c>
      <c r="S101" s="33">
        <f t="shared" si="84"/>
        <v>1455.4069119286512</v>
      </c>
      <c r="T101" s="33">
        <f t="shared" si="84"/>
        <v>1538.573021181717</v>
      </c>
      <c r="U101" s="33">
        <f t="shared" si="84"/>
        <v>1621.7391304347827</v>
      </c>
      <c r="V101" s="33">
        <f t="shared" si="84"/>
        <v>1663.3221850613156</v>
      </c>
      <c r="W101" s="33">
        <f t="shared" si="84"/>
        <v>2661.3154960981051</v>
      </c>
      <c r="X101" s="33">
        <f t="shared" si="84"/>
        <v>3659.3088071348943</v>
      </c>
      <c r="Y101" s="33">
        <f t="shared" si="84"/>
        <v>4657.302118171684</v>
      </c>
      <c r="Z101" s="33">
        <f t="shared" si="84"/>
        <v>5655.2954292084733</v>
      </c>
      <c r="AA101" s="33">
        <f t="shared" si="84"/>
        <v>3326.6443701226312</v>
      </c>
      <c r="AB101" s="33">
        <f t="shared" si="84"/>
        <v>6653.2887402452625</v>
      </c>
      <c r="AC101" s="33">
        <f t="shared" si="84"/>
        <v>13306.577480490525</v>
      </c>
      <c r="AD101" s="33">
        <f t="shared" si="84"/>
        <v>26613.15496098105</v>
      </c>
      <c r="AE101" s="33">
        <f t="shared" si="84"/>
        <v>53226.3099219621</v>
      </c>
      <c r="AF101" s="33">
        <f t="shared" si="84"/>
        <v>106452.6198439242</v>
      </c>
      <c r="AG101" s="33">
        <f t="shared" si="84"/>
        <v>212905.2396878484</v>
      </c>
      <c r="AH101" s="33">
        <f t="shared" si="84"/>
        <v>425810.4793756968</v>
      </c>
      <c r="AI101" s="33">
        <f t="shared" si="84"/>
        <v>851620.9587513936</v>
      </c>
      <c r="AJ101" s="84">
        <f t="shared" si="84"/>
        <v>1703241.9175027872</v>
      </c>
      <c r="AK101" s="33">
        <f t="shared" si="84"/>
        <v>3406483.8350055744</v>
      </c>
      <c r="AL101" s="84">
        <f t="shared" si="84"/>
        <v>5329700.1114827208</v>
      </c>
      <c r="AM101" s="57"/>
    </row>
    <row r="102" spans="1:39" x14ac:dyDescent="0.25">
      <c r="A102" s="53"/>
      <c r="B102" s="18"/>
      <c r="C102" s="22"/>
      <c r="D102" s="20"/>
      <c r="E102" s="27"/>
      <c r="F102" s="27"/>
      <c r="G102" s="39">
        <f>'AU Infection Rate by Age'!F24</f>
        <v>0</v>
      </c>
      <c r="H102" s="22"/>
      <c r="I102" s="41">
        <f t="shared" ref="I102:AL102" si="85">I$57*$D$101*$G$102</f>
        <v>0</v>
      </c>
      <c r="J102" s="42">
        <f t="shared" si="85"/>
        <v>0</v>
      </c>
      <c r="K102" s="42">
        <f t="shared" si="85"/>
        <v>0</v>
      </c>
      <c r="L102" s="42">
        <f t="shared" si="85"/>
        <v>0</v>
      </c>
      <c r="M102" s="42">
        <f t="shared" si="85"/>
        <v>0</v>
      </c>
      <c r="N102" s="42">
        <f t="shared" si="85"/>
        <v>0</v>
      </c>
      <c r="O102" s="42">
        <f t="shared" si="85"/>
        <v>0</v>
      </c>
      <c r="P102" s="42">
        <f t="shared" si="85"/>
        <v>0</v>
      </c>
      <c r="Q102" s="42">
        <f t="shared" si="85"/>
        <v>0</v>
      </c>
      <c r="R102" s="42">
        <f t="shared" si="85"/>
        <v>0</v>
      </c>
      <c r="S102" s="42">
        <f t="shared" si="85"/>
        <v>0</v>
      </c>
      <c r="T102" s="42">
        <f t="shared" si="85"/>
        <v>0</v>
      </c>
      <c r="U102" s="42">
        <f t="shared" si="85"/>
        <v>0</v>
      </c>
      <c r="V102" s="42">
        <f t="shared" si="85"/>
        <v>0</v>
      </c>
      <c r="W102" s="42">
        <f t="shared" si="85"/>
        <v>0</v>
      </c>
      <c r="X102" s="42">
        <f t="shared" si="85"/>
        <v>0</v>
      </c>
      <c r="Y102" s="42">
        <f t="shared" si="85"/>
        <v>0</v>
      </c>
      <c r="Z102" s="42">
        <f t="shared" si="85"/>
        <v>0</v>
      </c>
      <c r="AA102" s="42">
        <f t="shared" si="85"/>
        <v>0</v>
      </c>
      <c r="AB102" s="42">
        <f t="shared" si="85"/>
        <v>0</v>
      </c>
      <c r="AC102" s="42">
        <f t="shared" si="85"/>
        <v>0</v>
      </c>
      <c r="AD102" s="42">
        <f t="shared" si="85"/>
        <v>0</v>
      </c>
      <c r="AE102" s="42">
        <f t="shared" si="85"/>
        <v>0</v>
      </c>
      <c r="AF102" s="42">
        <f t="shared" si="85"/>
        <v>0</v>
      </c>
      <c r="AG102" s="42">
        <f t="shared" si="85"/>
        <v>0</v>
      </c>
      <c r="AH102" s="42">
        <f t="shared" si="85"/>
        <v>0</v>
      </c>
      <c r="AI102" s="42">
        <f t="shared" si="85"/>
        <v>0</v>
      </c>
      <c r="AJ102" s="83">
        <f t="shared" si="85"/>
        <v>0</v>
      </c>
      <c r="AK102" s="42">
        <f t="shared" si="85"/>
        <v>0</v>
      </c>
      <c r="AL102" s="83">
        <f t="shared" si="85"/>
        <v>0</v>
      </c>
      <c r="AM102" s="57"/>
    </row>
    <row r="103" spans="1:39" x14ac:dyDescent="0.25">
      <c r="A103" s="54" t="s">
        <v>20</v>
      </c>
      <c r="B103" s="18">
        <f>'ABS Population by Age Range'!D25</f>
        <v>0.12056476079328157</v>
      </c>
      <c r="C103" s="22">
        <f t="shared" si="73"/>
        <v>3090557.0781749799</v>
      </c>
      <c r="D103" s="35">
        <f>'AU Infection Rate by Age'!E11</f>
        <v>3.2469342251950944E-2</v>
      </c>
      <c r="E103" s="36"/>
      <c r="F103" s="36"/>
      <c r="G103" s="29"/>
      <c r="H103" s="22"/>
      <c r="I103" s="32">
        <f t="shared" ref="I103:AL103" si="86">I$57*$D$103</f>
        <v>1.0146669453734669</v>
      </c>
      <c r="J103" s="33">
        <f t="shared" si="86"/>
        <v>2.0293338907469338</v>
      </c>
      <c r="K103" s="33">
        <f t="shared" si="86"/>
        <v>4.0586677814938676</v>
      </c>
      <c r="L103" s="33">
        <f t="shared" si="86"/>
        <v>8.1173355629877353</v>
      </c>
      <c r="M103" s="33">
        <f t="shared" si="86"/>
        <v>16.234671125975471</v>
      </c>
      <c r="N103" s="33">
        <f t="shared" si="86"/>
        <v>32.469342251950941</v>
      </c>
      <c r="O103" s="33">
        <f t="shared" si="86"/>
        <v>64.938684503901882</v>
      </c>
      <c r="P103" s="33">
        <f t="shared" si="86"/>
        <v>129.87736900780376</v>
      </c>
      <c r="Q103" s="33">
        <f t="shared" si="86"/>
        <v>194.81605351170566</v>
      </c>
      <c r="R103" s="33">
        <f t="shared" si="86"/>
        <v>214.29765886287623</v>
      </c>
      <c r="S103" s="33">
        <f t="shared" si="86"/>
        <v>227.28539576365662</v>
      </c>
      <c r="T103" s="33">
        <f t="shared" si="86"/>
        <v>240.27313266443699</v>
      </c>
      <c r="U103" s="33">
        <f t="shared" si="86"/>
        <v>253.26086956521738</v>
      </c>
      <c r="V103" s="33">
        <f t="shared" si="86"/>
        <v>259.75473801560753</v>
      </c>
      <c r="W103" s="33">
        <f t="shared" si="86"/>
        <v>415.6075808249721</v>
      </c>
      <c r="X103" s="33">
        <f t="shared" si="86"/>
        <v>571.46042363433662</v>
      </c>
      <c r="Y103" s="33">
        <f t="shared" si="86"/>
        <v>727.3132664437012</v>
      </c>
      <c r="Z103" s="33">
        <f t="shared" si="86"/>
        <v>883.16610925306566</v>
      </c>
      <c r="AA103" s="33">
        <f t="shared" si="86"/>
        <v>519.50947603121506</v>
      </c>
      <c r="AB103" s="33">
        <f t="shared" si="86"/>
        <v>1039.0189520624301</v>
      </c>
      <c r="AC103" s="33">
        <f t="shared" si="86"/>
        <v>2078.0379041248602</v>
      </c>
      <c r="AD103" s="33">
        <f t="shared" si="86"/>
        <v>4156.0758082497205</v>
      </c>
      <c r="AE103" s="33">
        <f t="shared" si="86"/>
        <v>8312.1516164994409</v>
      </c>
      <c r="AF103" s="33">
        <f t="shared" si="86"/>
        <v>16624.303232998882</v>
      </c>
      <c r="AG103" s="33">
        <f t="shared" si="86"/>
        <v>33248.606465997764</v>
      </c>
      <c r="AH103" s="33">
        <f t="shared" si="86"/>
        <v>66497.212931995527</v>
      </c>
      <c r="AI103" s="33">
        <f t="shared" si="86"/>
        <v>132994.42586399105</v>
      </c>
      <c r="AJ103" s="84">
        <f t="shared" si="86"/>
        <v>265988.85172798211</v>
      </c>
      <c r="AK103" s="33">
        <f t="shared" si="86"/>
        <v>531977.70345596422</v>
      </c>
      <c r="AL103" s="84">
        <f t="shared" si="86"/>
        <v>832319.11928651051</v>
      </c>
      <c r="AM103" s="57"/>
    </row>
    <row r="104" spans="1:39" x14ac:dyDescent="0.25">
      <c r="A104" s="54"/>
      <c r="B104" s="18"/>
      <c r="C104" s="22"/>
      <c r="D104" s="20"/>
      <c r="E104" s="27"/>
      <c r="F104" s="27"/>
      <c r="G104" s="39">
        <f>'AU Infection Rate by Age'!F25</f>
        <v>0</v>
      </c>
      <c r="H104" s="22"/>
      <c r="I104" s="41">
        <f t="shared" ref="I104:AL104" si="87">I$57*$D$103*$G$104</f>
        <v>0</v>
      </c>
      <c r="J104" s="42">
        <f t="shared" si="87"/>
        <v>0</v>
      </c>
      <c r="K104" s="42">
        <f t="shared" si="87"/>
        <v>0</v>
      </c>
      <c r="L104" s="42">
        <f t="shared" si="87"/>
        <v>0</v>
      </c>
      <c r="M104" s="42">
        <f t="shared" si="87"/>
        <v>0</v>
      </c>
      <c r="N104" s="42">
        <f t="shared" si="87"/>
        <v>0</v>
      </c>
      <c r="O104" s="42">
        <f t="shared" si="87"/>
        <v>0</v>
      </c>
      <c r="P104" s="42">
        <f t="shared" si="87"/>
        <v>0</v>
      </c>
      <c r="Q104" s="42">
        <f t="shared" si="87"/>
        <v>0</v>
      </c>
      <c r="R104" s="42">
        <f t="shared" si="87"/>
        <v>0</v>
      </c>
      <c r="S104" s="42">
        <f t="shared" si="87"/>
        <v>0</v>
      </c>
      <c r="T104" s="42">
        <f t="shared" si="87"/>
        <v>0</v>
      </c>
      <c r="U104" s="42">
        <f t="shared" si="87"/>
        <v>0</v>
      </c>
      <c r="V104" s="42">
        <f t="shared" si="87"/>
        <v>0</v>
      </c>
      <c r="W104" s="42">
        <f t="shared" si="87"/>
        <v>0</v>
      </c>
      <c r="X104" s="42">
        <f t="shared" si="87"/>
        <v>0</v>
      </c>
      <c r="Y104" s="42">
        <f t="shared" si="87"/>
        <v>0</v>
      </c>
      <c r="Z104" s="42">
        <f t="shared" si="87"/>
        <v>0</v>
      </c>
      <c r="AA104" s="42">
        <f t="shared" si="87"/>
        <v>0</v>
      </c>
      <c r="AB104" s="42">
        <f t="shared" si="87"/>
        <v>0</v>
      </c>
      <c r="AC104" s="42">
        <f t="shared" si="87"/>
        <v>0</v>
      </c>
      <c r="AD104" s="42">
        <f t="shared" si="87"/>
        <v>0</v>
      </c>
      <c r="AE104" s="42">
        <f t="shared" si="87"/>
        <v>0</v>
      </c>
      <c r="AF104" s="42">
        <f t="shared" si="87"/>
        <v>0</v>
      </c>
      <c r="AG104" s="42">
        <f t="shared" si="87"/>
        <v>0</v>
      </c>
      <c r="AH104" s="42">
        <f t="shared" si="87"/>
        <v>0</v>
      </c>
      <c r="AI104" s="42">
        <f t="shared" si="87"/>
        <v>0</v>
      </c>
      <c r="AJ104" s="83">
        <f t="shared" si="87"/>
        <v>0</v>
      </c>
      <c r="AK104" s="42">
        <f t="shared" si="87"/>
        <v>0</v>
      </c>
      <c r="AL104" s="83">
        <f t="shared" si="87"/>
        <v>0</v>
      </c>
      <c r="AM104" s="57"/>
    </row>
    <row r="105" spans="1:39" x14ac:dyDescent="0.25">
      <c r="A105" s="54" t="s">
        <v>21</v>
      </c>
      <c r="B105" s="18">
        <f>'ABS Population by Age Range'!D13</f>
        <v>0.1255958322404806</v>
      </c>
      <c r="C105" s="22">
        <f t="shared" si="73"/>
        <v>3219523.5636524796</v>
      </c>
      <c r="D105" s="35">
        <f>'AU Infection Rate by Age'!E12</f>
        <v>1.4214046822742474E-2</v>
      </c>
      <c r="E105" s="36"/>
      <c r="F105" s="36"/>
      <c r="G105" s="29"/>
      <c r="H105" s="22"/>
      <c r="I105" s="32">
        <f t="shared" ref="I105:AL105" si="88">I$57*$D$105</f>
        <v>0.44418896321070234</v>
      </c>
      <c r="J105" s="33">
        <f t="shared" si="88"/>
        <v>0.88837792642140467</v>
      </c>
      <c r="K105" s="33">
        <f t="shared" si="88"/>
        <v>1.7767558528428093</v>
      </c>
      <c r="L105" s="33">
        <f t="shared" si="88"/>
        <v>3.5535117056856187</v>
      </c>
      <c r="M105" s="33">
        <f t="shared" si="88"/>
        <v>7.1070234113712374</v>
      </c>
      <c r="N105" s="33">
        <f t="shared" si="88"/>
        <v>14.214046822742475</v>
      </c>
      <c r="O105" s="33">
        <f t="shared" si="88"/>
        <v>28.42809364548495</v>
      </c>
      <c r="P105" s="33">
        <f t="shared" si="88"/>
        <v>56.856187290969899</v>
      </c>
      <c r="Q105" s="33">
        <f t="shared" si="88"/>
        <v>85.284280936454849</v>
      </c>
      <c r="R105" s="33">
        <f t="shared" si="88"/>
        <v>93.812709030100322</v>
      </c>
      <c r="S105" s="33">
        <f t="shared" si="88"/>
        <v>99.498327759197323</v>
      </c>
      <c r="T105" s="33">
        <f t="shared" si="88"/>
        <v>105.18394648829431</v>
      </c>
      <c r="U105" s="33">
        <f t="shared" si="88"/>
        <v>110.8695652173913</v>
      </c>
      <c r="V105" s="33">
        <f t="shared" si="88"/>
        <v>113.7123745819398</v>
      </c>
      <c r="W105" s="33">
        <f t="shared" si="88"/>
        <v>181.93979933110367</v>
      </c>
      <c r="X105" s="33">
        <f t="shared" si="88"/>
        <v>250.16722408026754</v>
      </c>
      <c r="Y105" s="33">
        <f t="shared" si="88"/>
        <v>318.39464882943145</v>
      </c>
      <c r="Z105" s="33">
        <f t="shared" si="88"/>
        <v>386.62207357859529</v>
      </c>
      <c r="AA105" s="33">
        <f t="shared" si="88"/>
        <v>227.4247491638796</v>
      </c>
      <c r="AB105" s="33">
        <f t="shared" si="88"/>
        <v>454.84949832775919</v>
      </c>
      <c r="AC105" s="33">
        <f t="shared" si="88"/>
        <v>909.69899665551839</v>
      </c>
      <c r="AD105" s="33">
        <f t="shared" si="88"/>
        <v>1819.3979933110368</v>
      </c>
      <c r="AE105" s="33">
        <f t="shared" si="88"/>
        <v>3638.7959866220735</v>
      </c>
      <c r="AF105" s="33">
        <f t="shared" si="88"/>
        <v>7277.5919732441471</v>
      </c>
      <c r="AG105" s="33">
        <f t="shared" si="88"/>
        <v>14555.183946488294</v>
      </c>
      <c r="AH105" s="33">
        <f t="shared" si="88"/>
        <v>29110.367892976588</v>
      </c>
      <c r="AI105" s="33">
        <f t="shared" si="88"/>
        <v>58220.735785953177</v>
      </c>
      <c r="AJ105" s="84">
        <f t="shared" si="88"/>
        <v>116441.47157190635</v>
      </c>
      <c r="AK105" s="33">
        <f t="shared" si="88"/>
        <v>232882.94314381271</v>
      </c>
      <c r="AL105" s="84">
        <f t="shared" si="88"/>
        <v>364362.87625418056</v>
      </c>
      <c r="AM105" s="57"/>
    </row>
    <row r="106" spans="1:39" x14ac:dyDescent="0.25">
      <c r="A106" s="54"/>
      <c r="B106" s="19"/>
      <c r="C106" s="23"/>
      <c r="D106" s="38"/>
      <c r="E106" s="67"/>
      <c r="F106" s="67"/>
      <c r="G106" s="40">
        <f>'AU Infection Rate by Age'!F26</f>
        <v>0</v>
      </c>
      <c r="H106" s="22"/>
      <c r="I106" s="41">
        <f t="shared" ref="I106:AL106" si="89">I$57*$D$105*$G$106</f>
        <v>0</v>
      </c>
      <c r="J106" s="42">
        <f t="shared" si="89"/>
        <v>0</v>
      </c>
      <c r="K106" s="42">
        <f t="shared" si="89"/>
        <v>0</v>
      </c>
      <c r="L106" s="42">
        <f t="shared" si="89"/>
        <v>0</v>
      </c>
      <c r="M106" s="42">
        <f t="shared" si="89"/>
        <v>0</v>
      </c>
      <c r="N106" s="42">
        <f t="shared" si="89"/>
        <v>0</v>
      </c>
      <c r="O106" s="42">
        <f t="shared" si="89"/>
        <v>0</v>
      </c>
      <c r="P106" s="42">
        <f t="shared" si="89"/>
        <v>0</v>
      </c>
      <c r="Q106" s="42">
        <f t="shared" si="89"/>
        <v>0</v>
      </c>
      <c r="R106" s="42">
        <f t="shared" si="89"/>
        <v>0</v>
      </c>
      <c r="S106" s="42">
        <f t="shared" si="89"/>
        <v>0</v>
      </c>
      <c r="T106" s="42">
        <f t="shared" si="89"/>
        <v>0</v>
      </c>
      <c r="U106" s="42">
        <f t="shared" si="89"/>
        <v>0</v>
      </c>
      <c r="V106" s="42">
        <f t="shared" si="89"/>
        <v>0</v>
      </c>
      <c r="W106" s="42">
        <f t="shared" si="89"/>
        <v>0</v>
      </c>
      <c r="X106" s="42">
        <f t="shared" si="89"/>
        <v>0</v>
      </c>
      <c r="Y106" s="42">
        <f t="shared" si="89"/>
        <v>0</v>
      </c>
      <c r="Z106" s="42">
        <f t="shared" si="89"/>
        <v>0</v>
      </c>
      <c r="AA106" s="42">
        <f t="shared" si="89"/>
        <v>0</v>
      </c>
      <c r="AB106" s="42">
        <f t="shared" si="89"/>
        <v>0</v>
      </c>
      <c r="AC106" s="42">
        <f t="shared" si="89"/>
        <v>0</v>
      </c>
      <c r="AD106" s="42">
        <f t="shared" si="89"/>
        <v>0</v>
      </c>
      <c r="AE106" s="42">
        <f t="shared" si="89"/>
        <v>0</v>
      </c>
      <c r="AF106" s="42">
        <f t="shared" si="89"/>
        <v>0</v>
      </c>
      <c r="AG106" s="42">
        <f t="shared" si="89"/>
        <v>0</v>
      </c>
      <c r="AH106" s="42">
        <f t="shared" si="89"/>
        <v>0</v>
      </c>
      <c r="AI106" s="42">
        <f t="shared" si="89"/>
        <v>0</v>
      </c>
      <c r="AJ106" s="83">
        <f t="shared" si="89"/>
        <v>0</v>
      </c>
      <c r="AK106" s="44">
        <f t="shared" si="89"/>
        <v>0</v>
      </c>
      <c r="AL106" s="85">
        <f t="shared" si="89"/>
        <v>0</v>
      </c>
      <c r="AM106" s="57"/>
    </row>
    <row r="107" spans="1:39" x14ac:dyDescent="0.25">
      <c r="A107" s="53" t="s">
        <v>131</v>
      </c>
      <c r="B107" s="26"/>
      <c r="C107" s="22"/>
      <c r="D107" s="22"/>
      <c r="E107" s="22"/>
      <c r="F107" s="22"/>
      <c r="G107" s="27"/>
      <c r="H107" s="22"/>
      <c r="I107" s="30">
        <f t="shared" ref="I107:AH107" si="90">SUM(I89,I91,I93,I95,I97,I99,I101,I103,I105)</f>
        <v>31.249999999999996</v>
      </c>
      <c r="J107" s="31">
        <f t="shared" si="90"/>
        <v>62.499999999999993</v>
      </c>
      <c r="K107" s="31">
        <f t="shared" si="90"/>
        <v>124.99999999999999</v>
      </c>
      <c r="L107" s="31">
        <f t="shared" si="90"/>
        <v>249.99999999999997</v>
      </c>
      <c r="M107" s="31">
        <f t="shared" si="90"/>
        <v>499.99999999999994</v>
      </c>
      <c r="N107" s="31">
        <f>SUM(N89,N91,N93,N95,N97,N99,N101,N103,N105)</f>
        <v>999.99999999999989</v>
      </c>
      <c r="O107" s="31">
        <f t="shared" si="90"/>
        <v>1999.9999999999998</v>
      </c>
      <c r="P107" s="31">
        <f t="shared" si="90"/>
        <v>3999.9999999999995</v>
      </c>
      <c r="Q107" s="31">
        <f t="shared" ref="Q107:U107" si="91">SUM(Q89,Q91,Q93,Q95,Q97,Q99,Q101,Q103,Q105)</f>
        <v>6000</v>
      </c>
      <c r="R107" s="31">
        <f t="shared" si="91"/>
        <v>6600</v>
      </c>
      <c r="S107" s="31">
        <f t="shared" ref="S107:T107" si="92">SUM(S89,S91,S93,S95,S97,S99,S101,S103,S105)</f>
        <v>7000</v>
      </c>
      <c r="T107" s="31">
        <f t="shared" si="92"/>
        <v>7400</v>
      </c>
      <c r="U107" s="31">
        <f t="shared" si="91"/>
        <v>7800</v>
      </c>
      <c r="V107" s="31">
        <f t="shared" si="90"/>
        <v>7999.9999999999991</v>
      </c>
      <c r="W107" s="31">
        <f t="shared" ref="W107:Z107" si="93">SUM(W89,W91,W93,W95,W97,W99,W101,W103,W105)</f>
        <v>12799.999999999998</v>
      </c>
      <c r="X107" s="31">
        <f t="shared" si="93"/>
        <v>17600.000000000004</v>
      </c>
      <c r="Y107" s="31">
        <f t="shared" si="93"/>
        <v>22400</v>
      </c>
      <c r="Z107" s="31">
        <f t="shared" si="93"/>
        <v>27199.999999999996</v>
      </c>
      <c r="AA107" s="31">
        <f t="shared" si="90"/>
        <v>15999.999999999998</v>
      </c>
      <c r="AB107" s="31">
        <f t="shared" si="90"/>
        <v>31999.999999999996</v>
      </c>
      <c r="AC107" s="31">
        <f t="shared" si="90"/>
        <v>63999.999999999993</v>
      </c>
      <c r="AD107" s="31">
        <f t="shared" si="90"/>
        <v>127999.99999999999</v>
      </c>
      <c r="AE107" s="31">
        <f t="shared" si="90"/>
        <v>255999.99999999997</v>
      </c>
      <c r="AF107" s="31">
        <f t="shared" si="90"/>
        <v>511999.99999999994</v>
      </c>
      <c r="AG107" s="31">
        <f t="shared" si="90"/>
        <v>1023999.9999999999</v>
      </c>
      <c r="AH107" s="31">
        <f t="shared" si="90"/>
        <v>2047999.9999999998</v>
      </c>
      <c r="AI107" s="31">
        <f t="shared" ref="AI107:AL108" si="94">SUM(AI89,AI91,AI93,AI95,AI97,AI99,AI101,AI103,AI105)</f>
        <v>4095999.9999999995</v>
      </c>
      <c r="AJ107" s="72">
        <f t="shared" si="94"/>
        <v>8191999.9999999991</v>
      </c>
      <c r="AK107" s="31">
        <f t="shared" si="94"/>
        <v>16383999.999999998</v>
      </c>
      <c r="AL107" s="72">
        <f t="shared" si="94"/>
        <v>25634000.000000004</v>
      </c>
      <c r="AM107" s="57"/>
    </row>
    <row r="108" spans="1:39" x14ac:dyDescent="0.25">
      <c r="A108" s="55" t="s">
        <v>130</v>
      </c>
      <c r="B108" s="56"/>
      <c r="C108" s="23"/>
      <c r="D108" s="23"/>
      <c r="E108" s="23"/>
      <c r="F108" s="23"/>
      <c r="G108" s="50"/>
      <c r="H108" s="23"/>
      <c r="I108" s="43">
        <f>SUM(I90,I92,I94,I96,I98,I100,I102,I104,I106)</f>
        <v>0.44418896321070234</v>
      </c>
      <c r="J108" s="44">
        <f>SUM(J90,J92,J94,J96,J98,J100,J102,J104,J106)</f>
        <v>0.88837792642140467</v>
      </c>
      <c r="K108" s="44">
        <f t="shared" ref="K108:AH108" si="95">SUM(K90,K92,K94,K96,K98,K100,K102,K104,K106)</f>
        <v>1.7767558528428093</v>
      </c>
      <c r="L108" s="44">
        <f t="shared" si="95"/>
        <v>3.5535117056856187</v>
      </c>
      <c r="M108" s="44">
        <f t="shared" si="95"/>
        <v>7.1070234113712374</v>
      </c>
      <c r="N108" s="44">
        <f t="shared" si="95"/>
        <v>14.214046822742475</v>
      </c>
      <c r="O108" s="44">
        <f t="shared" si="95"/>
        <v>28.42809364548495</v>
      </c>
      <c r="P108" s="44">
        <f t="shared" si="95"/>
        <v>56.856187290969899</v>
      </c>
      <c r="Q108" s="44">
        <f t="shared" ref="Q108:U108" si="96">SUM(Q90,Q92,Q94,Q96,Q98,Q100,Q102,Q104,Q106)</f>
        <v>85.284280936454863</v>
      </c>
      <c r="R108" s="44">
        <f>SUM(R90,R92,R94,R96,R98,R100,R102,R104,R106)</f>
        <v>93.812709030100336</v>
      </c>
      <c r="S108" s="44">
        <f t="shared" ref="S108:T108" si="97">SUM(S90,S92,S94,S96,S98,S100,S102,S104,S106)</f>
        <v>99.498327759197323</v>
      </c>
      <c r="T108" s="44">
        <f t="shared" si="97"/>
        <v>105.18394648829432</v>
      </c>
      <c r="U108" s="44">
        <f t="shared" si="96"/>
        <v>110.8695652173913</v>
      </c>
      <c r="V108" s="44">
        <f t="shared" si="95"/>
        <v>113.7123745819398</v>
      </c>
      <c r="W108" s="44">
        <f t="shared" ref="W108:Z108" si="98">SUM(W90,W92,W94,W96,W98,W100,W102,W104,W106)</f>
        <v>181.9397993311037</v>
      </c>
      <c r="X108" s="44">
        <f t="shared" si="98"/>
        <v>250.16722408026757</v>
      </c>
      <c r="Y108" s="44">
        <f t="shared" si="98"/>
        <v>318.39464882943145</v>
      </c>
      <c r="Z108" s="44">
        <f t="shared" si="98"/>
        <v>386.6220735785954</v>
      </c>
      <c r="AA108" s="44">
        <f t="shared" si="95"/>
        <v>227.4247491638796</v>
      </c>
      <c r="AB108" s="44">
        <f t="shared" si="95"/>
        <v>454.84949832775919</v>
      </c>
      <c r="AC108" s="44">
        <f t="shared" si="95"/>
        <v>909.69899665551839</v>
      </c>
      <c r="AD108" s="44">
        <f t="shared" si="95"/>
        <v>1819.3979933110368</v>
      </c>
      <c r="AE108" s="44">
        <f t="shared" si="95"/>
        <v>3638.7959866220735</v>
      </c>
      <c r="AF108" s="44">
        <f t="shared" si="95"/>
        <v>7277.5919732441471</v>
      </c>
      <c r="AG108" s="44">
        <f t="shared" si="95"/>
        <v>14555.183946488294</v>
      </c>
      <c r="AH108" s="44">
        <f t="shared" si="95"/>
        <v>29110.367892976588</v>
      </c>
      <c r="AI108" s="44">
        <f t="shared" si="94"/>
        <v>58220.735785953177</v>
      </c>
      <c r="AJ108" s="85">
        <f t="shared" si="94"/>
        <v>116441.47157190635</v>
      </c>
      <c r="AK108" s="44">
        <f t="shared" si="94"/>
        <v>232882.94314381271</v>
      </c>
      <c r="AL108" s="85">
        <f t="shared" si="94"/>
        <v>364362.87625418062</v>
      </c>
      <c r="AM108" s="57"/>
    </row>
    <row r="109" spans="1:39" x14ac:dyDescent="0.25">
      <c r="A109" s="54"/>
      <c r="B109" s="26"/>
      <c r="C109" s="22"/>
      <c r="D109" s="22"/>
      <c r="E109" s="22"/>
      <c r="F109" s="22"/>
      <c r="G109" s="27"/>
      <c r="H109" s="22"/>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row>
    <row r="110" spans="1:39" x14ac:dyDescent="0.25">
      <c r="A110" s="66" t="s">
        <v>142</v>
      </c>
      <c r="B110" s="26"/>
      <c r="C110" s="22"/>
      <c r="D110" s="22"/>
      <c r="E110" s="22"/>
      <c r="F110" s="22"/>
      <c r="G110" s="27"/>
      <c r="H110" s="22"/>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row>
    <row r="111" spans="1:39" x14ac:dyDescent="0.25">
      <c r="A111" s="16"/>
      <c r="B111" s="21" t="s">
        <v>6</v>
      </c>
      <c r="C111" s="21" t="s">
        <v>4</v>
      </c>
      <c r="D111" s="21"/>
      <c r="E111" s="21"/>
      <c r="F111" s="21"/>
      <c r="G111" s="71" t="s">
        <v>3</v>
      </c>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17"/>
      <c r="AM111" s="59"/>
    </row>
    <row r="112" spans="1:39" x14ac:dyDescent="0.25">
      <c r="A112" s="53" t="s">
        <v>2</v>
      </c>
      <c r="B112" s="36">
        <v>0.05</v>
      </c>
      <c r="C112" s="22">
        <f>$B$43 * B112</f>
        <v>1281700</v>
      </c>
      <c r="D112" s="28"/>
      <c r="E112" s="28"/>
      <c r="F112" s="28"/>
      <c r="G112" s="28"/>
      <c r="H112" s="28"/>
      <c r="I112" s="30">
        <f t="shared" ref="I112:AL112" si="99">I$57*$B$112</f>
        <v>1.5625</v>
      </c>
      <c r="J112" s="31">
        <f t="shared" si="99"/>
        <v>3.125</v>
      </c>
      <c r="K112" s="31">
        <f t="shared" si="99"/>
        <v>6.25</v>
      </c>
      <c r="L112" s="31">
        <f t="shared" si="99"/>
        <v>12.5</v>
      </c>
      <c r="M112" s="31">
        <f t="shared" si="99"/>
        <v>25</v>
      </c>
      <c r="N112" s="31">
        <f t="shared" si="99"/>
        <v>50</v>
      </c>
      <c r="O112" s="31">
        <f t="shared" si="99"/>
        <v>100</v>
      </c>
      <c r="P112" s="31">
        <f t="shared" si="99"/>
        <v>200</v>
      </c>
      <c r="Q112" s="31">
        <f t="shared" si="99"/>
        <v>300</v>
      </c>
      <c r="R112" s="31">
        <f t="shared" si="99"/>
        <v>330</v>
      </c>
      <c r="S112" s="31">
        <f t="shared" si="99"/>
        <v>350</v>
      </c>
      <c r="T112" s="31">
        <f t="shared" si="99"/>
        <v>370</v>
      </c>
      <c r="U112" s="31">
        <f t="shared" si="99"/>
        <v>390</v>
      </c>
      <c r="V112" s="31">
        <f t="shared" si="99"/>
        <v>400</v>
      </c>
      <c r="W112" s="31">
        <f t="shared" si="99"/>
        <v>640</v>
      </c>
      <c r="X112" s="31">
        <f t="shared" si="99"/>
        <v>880</v>
      </c>
      <c r="Y112" s="31">
        <f t="shared" si="99"/>
        <v>1120</v>
      </c>
      <c r="Z112" s="31">
        <f t="shared" si="99"/>
        <v>1360</v>
      </c>
      <c r="AA112" s="31">
        <f t="shared" si="99"/>
        <v>800</v>
      </c>
      <c r="AB112" s="31">
        <f t="shared" si="99"/>
        <v>1600</v>
      </c>
      <c r="AC112" s="31">
        <f t="shared" si="99"/>
        <v>3200</v>
      </c>
      <c r="AD112" s="31">
        <f t="shared" si="99"/>
        <v>6400</v>
      </c>
      <c r="AE112" s="31">
        <f t="shared" si="99"/>
        <v>12800</v>
      </c>
      <c r="AF112" s="31">
        <f t="shared" si="99"/>
        <v>25600</v>
      </c>
      <c r="AG112" s="31">
        <f t="shared" si="99"/>
        <v>51200</v>
      </c>
      <c r="AH112" s="31">
        <f t="shared" si="99"/>
        <v>102400</v>
      </c>
      <c r="AI112" s="31">
        <f t="shared" si="99"/>
        <v>204800</v>
      </c>
      <c r="AJ112" s="72">
        <f t="shared" si="99"/>
        <v>409600</v>
      </c>
      <c r="AK112" s="31">
        <f t="shared" si="99"/>
        <v>819200</v>
      </c>
      <c r="AL112" s="72">
        <f t="shared" si="99"/>
        <v>1281700</v>
      </c>
      <c r="AM112" s="57"/>
    </row>
    <row r="113" spans="1:39" x14ac:dyDescent="0.25">
      <c r="A113" s="53"/>
      <c r="B113" s="28"/>
      <c r="C113" s="28"/>
      <c r="D113" s="37"/>
      <c r="E113" s="37"/>
      <c r="F113" s="37"/>
      <c r="G113" s="58">
        <v>0.105</v>
      </c>
      <c r="H113" s="28"/>
      <c r="I113" s="41">
        <f>I112*$G$113</f>
        <v>0.1640625</v>
      </c>
      <c r="J113" s="42">
        <f t="shared" ref="J113:AH113" si="100">J112*$G$113</f>
        <v>0.328125</v>
      </c>
      <c r="K113" s="42">
        <f t="shared" si="100"/>
        <v>0.65625</v>
      </c>
      <c r="L113" s="42">
        <f t="shared" si="100"/>
        <v>1.3125</v>
      </c>
      <c r="M113" s="42">
        <f t="shared" si="100"/>
        <v>2.625</v>
      </c>
      <c r="N113" s="42">
        <f t="shared" si="100"/>
        <v>5.25</v>
      </c>
      <c r="O113" s="42">
        <f t="shared" si="100"/>
        <v>10.5</v>
      </c>
      <c r="P113" s="42">
        <f t="shared" si="100"/>
        <v>21</v>
      </c>
      <c r="Q113" s="42">
        <f t="shared" ref="Q113:U113" si="101">Q112*$G$113</f>
        <v>31.5</v>
      </c>
      <c r="R113" s="42">
        <f t="shared" si="101"/>
        <v>34.65</v>
      </c>
      <c r="S113" s="42">
        <f t="shared" ref="S113:T113" si="102">S112*$G$113</f>
        <v>36.75</v>
      </c>
      <c r="T113" s="42">
        <f t="shared" si="102"/>
        <v>38.85</v>
      </c>
      <c r="U113" s="42">
        <f t="shared" si="101"/>
        <v>40.949999999999996</v>
      </c>
      <c r="V113" s="42">
        <f t="shared" si="100"/>
        <v>42</v>
      </c>
      <c r="W113" s="42">
        <f t="shared" ref="W113:Z113" si="103">W112*$G$113</f>
        <v>67.2</v>
      </c>
      <c r="X113" s="42">
        <f t="shared" si="103"/>
        <v>92.399999999999991</v>
      </c>
      <c r="Y113" s="42">
        <f t="shared" si="103"/>
        <v>117.6</v>
      </c>
      <c r="Z113" s="42">
        <f t="shared" si="103"/>
        <v>142.79999999999998</v>
      </c>
      <c r="AA113" s="42">
        <f t="shared" si="100"/>
        <v>84</v>
      </c>
      <c r="AB113" s="42">
        <f t="shared" si="100"/>
        <v>168</v>
      </c>
      <c r="AC113" s="42">
        <f t="shared" si="100"/>
        <v>336</v>
      </c>
      <c r="AD113" s="42">
        <f t="shared" si="100"/>
        <v>672</v>
      </c>
      <c r="AE113" s="42">
        <f t="shared" si="100"/>
        <v>1344</v>
      </c>
      <c r="AF113" s="42">
        <f t="shared" si="100"/>
        <v>2688</v>
      </c>
      <c r="AG113" s="42">
        <f t="shared" si="100"/>
        <v>5376</v>
      </c>
      <c r="AH113" s="42">
        <f t="shared" si="100"/>
        <v>10752</v>
      </c>
      <c r="AI113" s="42">
        <f>AI112*$G$113</f>
        <v>21504</v>
      </c>
      <c r="AJ113" s="83">
        <f>AJ112*$G$113</f>
        <v>43008</v>
      </c>
      <c r="AK113" s="42">
        <f>AK112*$G$113</f>
        <v>86016</v>
      </c>
      <c r="AL113" s="83">
        <f>AL112*$G$113</f>
        <v>134578.5</v>
      </c>
      <c r="AM113" s="57"/>
    </row>
    <row r="114" spans="1:39" x14ac:dyDescent="0.25">
      <c r="A114" s="53" t="s">
        <v>5</v>
      </c>
      <c r="B114" s="36">
        <v>4.9000000000000002E-2</v>
      </c>
      <c r="C114" s="22">
        <f>$B$43 * B114</f>
        <v>1256066</v>
      </c>
      <c r="D114" s="59"/>
      <c r="E114" s="59"/>
      <c r="F114" s="59"/>
      <c r="G114" s="28"/>
      <c r="H114" s="28"/>
      <c r="I114" s="32">
        <f t="shared" ref="I114:AL114" si="104">I$57*$B$114</f>
        <v>1.53125</v>
      </c>
      <c r="J114" s="33">
        <f t="shared" si="104"/>
        <v>3.0625</v>
      </c>
      <c r="K114" s="33">
        <f t="shared" si="104"/>
        <v>6.125</v>
      </c>
      <c r="L114" s="33">
        <f t="shared" si="104"/>
        <v>12.25</v>
      </c>
      <c r="M114" s="33">
        <f t="shared" si="104"/>
        <v>24.5</v>
      </c>
      <c r="N114" s="33">
        <f t="shared" si="104"/>
        <v>49</v>
      </c>
      <c r="O114" s="33">
        <f t="shared" si="104"/>
        <v>98</v>
      </c>
      <c r="P114" s="33">
        <f t="shared" si="104"/>
        <v>196</v>
      </c>
      <c r="Q114" s="33">
        <f t="shared" si="104"/>
        <v>294</v>
      </c>
      <c r="R114" s="33">
        <f t="shared" si="104"/>
        <v>323.40000000000003</v>
      </c>
      <c r="S114" s="33">
        <f t="shared" si="104"/>
        <v>343</v>
      </c>
      <c r="T114" s="33">
        <f t="shared" si="104"/>
        <v>362.6</v>
      </c>
      <c r="U114" s="33">
        <f t="shared" si="104"/>
        <v>382.2</v>
      </c>
      <c r="V114" s="33">
        <f t="shared" si="104"/>
        <v>392</v>
      </c>
      <c r="W114" s="33">
        <f t="shared" si="104"/>
        <v>627.20000000000005</v>
      </c>
      <c r="X114" s="33">
        <f t="shared" si="104"/>
        <v>862.4</v>
      </c>
      <c r="Y114" s="33">
        <f t="shared" si="104"/>
        <v>1097.6000000000001</v>
      </c>
      <c r="Z114" s="33">
        <f t="shared" si="104"/>
        <v>1332.8</v>
      </c>
      <c r="AA114" s="33">
        <f t="shared" si="104"/>
        <v>784</v>
      </c>
      <c r="AB114" s="33">
        <f t="shared" si="104"/>
        <v>1568</v>
      </c>
      <c r="AC114" s="33">
        <f t="shared" si="104"/>
        <v>3136</v>
      </c>
      <c r="AD114" s="33">
        <f t="shared" si="104"/>
        <v>6272</v>
      </c>
      <c r="AE114" s="33">
        <f t="shared" si="104"/>
        <v>12544</v>
      </c>
      <c r="AF114" s="33">
        <f t="shared" si="104"/>
        <v>25088</v>
      </c>
      <c r="AG114" s="33">
        <f t="shared" si="104"/>
        <v>50176</v>
      </c>
      <c r="AH114" s="33">
        <f t="shared" si="104"/>
        <v>100352</v>
      </c>
      <c r="AI114" s="33">
        <f t="shared" si="104"/>
        <v>200704</v>
      </c>
      <c r="AJ114" s="84">
        <f t="shared" si="104"/>
        <v>401408</v>
      </c>
      <c r="AK114" s="33">
        <f t="shared" si="104"/>
        <v>802816</v>
      </c>
      <c r="AL114" s="84">
        <f t="shared" si="104"/>
        <v>1256066</v>
      </c>
      <c r="AM114" s="57"/>
    </row>
    <row r="115" spans="1:39" x14ac:dyDescent="0.25">
      <c r="A115" s="53"/>
      <c r="B115" s="28"/>
      <c r="C115" s="28"/>
      <c r="D115" s="37"/>
      <c r="E115" s="37"/>
      <c r="F115" s="37"/>
      <c r="G115" s="58">
        <v>7.2999999999999995E-2</v>
      </c>
      <c r="H115" s="28"/>
      <c r="I115" s="41">
        <f t="shared" ref="I115:AH115" si="105">I114*$G$115</f>
        <v>0.11178125</v>
      </c>
      <c r="J115" s="42">
        <f t="shared" si="105"/>
        <v>0.2235625</v>
      </c>
      <c r="K115" s="42">
        <f t="shared" si="105"/>
        <v>0.44712499999999999</v>
      </c>
      <c r="L115" s="42">
        <f t="shared" si="105"/>
        <v>0.89424999999999999</v>
      </c>
      <c r="M115" s="42">
        <f t="shared" si="105"/>
        <v>1.7885</v>
      </c>
      <c r="N115" s="42">
        <f t="shared" si="105"/>
        <v>3.577</v>
      </c>
      <c r="O115" s="42">
        <f t="shared" si="105"/>
        <v>7.1539999999999999</v>
      </c>
      <c r="P115" s="42">
        <f t="shared" si="105"/>
        <v>14.308</v>
      </c>
      <c r="Q115" s="42">
        <f t="shared" ref="Q115:U115" si="106">Q114*$G$115</f>
        <v>21.462</v>
      </c>
      <c r="R115" s="42">
        <f t="shared" si="106"/>
        <v>23.6082</v>
      </c>
      <c r="S115" s="42">
        <f t="shared" ref="S115:T115" si="107">S114*$G$115</f>
        <v>25.038999999999998</v>
      </c>
      <c r="T115" s="42">
        <f t="shared" si="107"/>
        <v>26.469799999999999</v>
      </c>
      <c r="U115" s="42">
        <f t="shared" si="106"/>
        <v>27.900599999999997</v>
      </c>
      <c r="V115" s="42">
        <f t="shared" si="105"/>
        <v>28.616</v>
      </c>
      <c r="W115" s="42">
        <f t="shared" ref="W115:Z115" si="108">W114*$G$115</f>
        <v>45.785600000000002</v>
      </c>
      <c r="X115" s="42">
        <f t="shared" si="108"/>
        <v>62.955199999999998</v>
      </c>
      <c r="Y115" s="42">
        <f t="shared" si="108"/>
        <v>80.124800000000008</v>
      </c>
      <c r="Z115" s="42">
        <f t="shared" si="108"/>
        <v>97.294399999999996</v>
      </c>
      <c r="AA115" s="42">
        <f t="shared" si="105"/>
        <v>57.231999999999999</v>
      </c>
      <c r="AB115" s="42">
        <f t="shared" si="105"/>
        <v>114.464</v>
      </c>
      <c r="AC115" s="42">
        <f t="shared" si="105"/>
        <v>228.928</v>
      </c>
      <c r="AD115" s="42">
        <f t="shared" si="105"/>
        <v>457.85599999999999</v>
      </c>
      <c r="AE115" s="42">
        <f t="shared" si="105"/>
        <v>915.71199999999999</v>
      </c>
      <c r="AF115" s="42">
        <f t="shared" si="105"/>
        <v>1831.424</v>
      </c>
      <c r="AG115" s="42">
        <f t="shared" si="105"/>
        <v>3662.848</v>
      </c>
      <c r="AH115" s="42">
        <f t="shared" si="105"/>
        <v>7325.6959999999999</v>
      </c>
      <c r="AI115" s="42">
        <f>AI114*$G$115</f>
        <v>14651.392</v>
      </c>
      <c r="AJ115" s="83">
        <f>AJ114*$G$115</f>
        <v>29302.784</v>
      </c>
      <c r="AK115" s="42">
        <f>AK114*$G$115</f>
        <v>58605.567999999999</v>
      </c>
      <c r="AL115" s="83">
        <f>AL114*$G$115</f>
        <v>91692.817999999999</v>
      </c>
      <c r="AM115" s="57"/>
    </row>
    <row r="116" spans="1:39" x14ac:dyDescent="0.25">
      <c r="A116" s="53" t="s">
        <v>7</v>
      </c>
      <c r="B116" s="36">
        <v>0.31</v>
      </c>
      <c r="C116" s="22">
        <f>$B$43 * B116</f>
        <v>7946540</v>
      </c>
      <c r="D116" s="59"/>
      <c r="E116" s="59"/>
      <c r="F116" s="59"/>
      <c r="G116" s="28"/>
      <c r="H116" s="28"/>
      <c r="I116" s="32">
        <f t="shared" ref="I116:AL116" si="109">I$57*$B$116</f>
        <v>9.6875</v>
      </c>
      <c r="J116" s="33">
        <f t="shared" si="109"/>
        <v>19.375</v>
      </c>
      <c r="K116" s="33">
        <f t="shared" si="109"/>
        <v>38.75</v>
      </c>
      <c r="L116" s="33">
        <f t="shared" si="109"/>
        <v>77.5</v>
      </c>
      <c r="M116" s="33">
        <f t="shared" si="109"/>
        <v>155</v>
      </c>
      <c r="N116" s="33">
        <f t="shared" si="109"/>
        <v>310</v>
      </c>
      <c r="O116" s="33">
        <f t="shared" si="109"/>
        <v>620</v>
      </c>
      <c r="P116" s="33">
        <f t="shared" si="109"/>
        <v>1240</v>
      </c>
      <c r="Q116" s="33">
        <f t="shared" si="109"/>
        <v>1860</v>
      </c>
      <c r="R116" s="33">
        <f t="shared" si="109"/>
        <v>2046</v>
      </c>
      <c r="S116" s="33">
        <f t="shared" si="109"/>
        <v>2170</v>
      </c>
      <c r="T116" s="33">
        <f t="shared" si="109"/>
        <v>2294</v>
      </c>
      <c r="U116" s="33">
        <f t="shared" si="109"/>
        <v>2418</v>
      </c>
      <c r="V116" s="33">
        <f t="shared" si="109"/>
        <v>2480</v>
      </c>
      <c r="W116" s="33">
        <f t="shared" si="109"/>
        <v>3968</v>
      </c>
      <c r="X116" s="33">
        <f t="shared" si="109"/>
        <v>5456</v>
      </c>
      <c r="Y116" s="33">
        <f t="shared" si="109"/>
        <v>6944</v>
      </c>
      <c r="Z116" s="33">
        <f t="shared" si="109"/>
        <v>8432</v>
      </c>
      <c r="AA116" s="33">
        <f t="shared" si="109"/>
        <v>4960</v>
      </c>
      <c r="AB116" s="33">
        <f t="shared" si="109"/>
        <v>9920</v>
      </c>
      <c r="AC116" s="33">
        <f t="shared" si="109"/>
        <v>19840</v>
      </c>
      <c r="AD116" s="33">
        <f t="shared" si="109"/>
        <v>39680</v>
      </c>
      <c r="AE116" s="33">
        <f t="shared" si="109"/>
        <v>79360</v>
      </c>
      <c r="AF116" s="33">
        <f t="shared" si="109"/>
        <v>158720</v>
      </c>
      <c r="AG116" s="33">
        <f t="shared" si="109"/>
        <v>317440</v>
      </c>
      <c r="AH116" s="33">
        <f t="shared" si="109"/>
        <v>634880</v>
      </c>
      <c r="AI116" s="33">
        <f t="shared" si="109"/>
        <v>1269760</v>
      </c>
      <c r="AJ116" s="84">
        <f t="shared" si="109"/>
        <v>2539520</v>
      </c>
      <c r="AK116" s="33">
        <f t="shared" si="109"/>
        <v>5079040</v>
      </c>
      <c r="AL116" s="84">
        <f t="shared" si="109"/>
        <v>7946540</v>
      </c>
      <c r="AM116" s="57"/>
    </row>
    <row r="117" spans="1:39" x14ac:dyDescent="0.25">
      <c r="A117" s="53"/>
      <c r="B117" s="28"/>
      <c r="C117" s="28"/>
      <c r="D117" s="37"/>
      <c r="E117" s="37"/>
      <c r="F117" s="37"/>
      <c r="G117" s="58">
        <v>6.3E-2</v>
      </c>
      <c r="H117" s="28"/>
      <c r="I117" s="41">
        <f t="shared" ref="I117:AH117" si="110">I116*$G$117</f>
        <v>0.61031250000000004</v>
      </c>
      <c r="J117" s="42">
        <f t="shared" si="110"/>
        <v>1.2206250000000001</v>
      </c>
      <c r="K117" s="42">
        <f t="shared" si="110"/>
        <v>2.4412500000000001</v>
      </c>
      <c r="L117" s="42">
        <f t="shared" si="110"/>
        <v>4.8825000000000003</v>
      </c>
      <c r="M117" s="42">
        <f t="shared" si="110"/>
        <v>9.7650000000000006</v>
      </c>
      <c r="N117" s="42">
        <f t="shared" si="110"/>
        <v>19.53</v>
      </c>
      <c r="O117" s="42">
        <f t="shared" si="110"/>
        <v>39.06</v>
      </c>
      <c r="P117" s="42">
        <f t="shared" si="110"/>
        <v>78.12</v>
      </c>
      <c r="Q117" s="42">
        <f t="shared" ref="Q117:U117" si="111">Q116*$G$117</f>
        <v>117.18</v>
      </c>
      <c r="R117" s="42">
        <f t="shared" si="111"/>
        <v>128.898</v>
      </c>
      <c r="S117" s="42">
        <f t="shared" ref="S117:T117" si="112">S116*$G$117</f>
        <v>136.71</v>
      </c>
      <c r="T117" s="42">
        <f t="shared" si="112"/>
        <v>144.52199999999999</v>
      </c>
      <c r="U117" s="42">
        <f t="shared" si="111"/>
        <v>152.334</v>
      </c>
      <c r="V117" s="42">
        <f t="shared" si="110"/>
        <v>156.24</v>
      </c>
      <c r="W117" s="42">
        <f t="shared" ref="W117:Z117" si="113">W116*$G$117</f>
        <v>249.98400000000001</v>
      </c>
      <c r="X117" s="42">
        <f t="shared" si="113"/>
        <v>343.72800000000001</v>
      </c>
      <c r="Y117" s="42">
        <f t="shared" si="113"/>
        <v>437.47199999999998</v>
      </c>
      <c r="Z117" s="42">
        <f t="shared" si="113"/>
        <v>531.21600000000001</v>
      </c>
      <c r="AA117" s="42">
        <f t="shared" si="110"/>
        <v>312.48</v>
      </c>
      <c r="AB117" s="42">
        <f t="shared" si="110"/>
        <v>624.96</v>
      </c>
      <c r="AC117" s="42">
        <f t="shared" si="110"/>
        <v>1249.92</v>
      </c>
      <c r="AD117" s="42">
        <f t="shared" si="110"/>
        <v>2499.84</v>
      </c>
      <c r="AE117" s="42">
        <f t="shared" si="110"/>
        <v>4999.68</v>
      </c>
      <c r="AF117" s="42">
        <f t="shared" si="110"/>
        <v>9999.36</v>
      </c>
      <c r="AG117" s="42">
        <f t="shared" si="110"/>
        <v>19998.72</v>
      </c>
      <c r="AH117" s="42">
        <f t="shared" si="110"/>
        <v>39997.440000000002</v>
      </c>
      <c r="AI117" s="42">
        <f>AI116*$G$117</f>
        <v>79994.880000000005</v>
      </c>
      <c r="AJ117" s="83">
        <f>AJ116*$G$117</f>
        <v>159989.76000000001</v>
      </c>
      <c r="AK117" s="42">
        <f>AK116*$G$117</f>
        <v>319979.52000000002</v>
      </c>
      <c r="AL117" s="83">
        <f>AL116*$G$117</f>
        <v>500632.02</v>
      </c>
      <c r="AM117" s="57"/>
    </row>
    <row r="118" spans="1:39" x14ac:dyDescent="0.25">
      <c r="A118" s="53" t="s">
        <v>8</v>
      </c>
      <c r="B118" s="36">
        <v>0.106</v>
      </c>
      <c r="C118" s="22">
        <f>$B$43 * B118</f>
        <v>2717204</v>
      </c>
      <c r="D118" s="59"/>
      <c r="E118" s="59"/>
      <c r="F118" s="59"/>
      <c r="G118" s="28"/>
      <c r="H118" s="28"/>
      <c r="I118" s="32">
        <f t="shared" ref="I118:AL118" si="114">I$57*$B$118</f>
        <v>3.3125</v>
      </c>
      <c r="J118" s="33">
        <f t="shared" si="114"/>
        <v>6.625</v>
      </c>
      <c r="K118" s="33">
        <f t="shared" si="114"/>
        <v>13.25</v>
      </c>
      <c r="L118" s="33">
        <f t="shared" si="114"/>
        <v>26.5</v>
      </c>
      <c r="M118" s="33">
        <f t="shared" si="114"/>
        <v>53</v>
      </c>
      <c r="N118" s="33">
        <f t="shared" si="114"/>
        <v>106</v>
      </c>
      <c r="O118" s="33">
        <f t="shared" si="114"/>
        <v>212</v>
      </c>
      <c r="P118" s="33">
        <f t="shared" si="114"/>
        <v>424</v>
      </c>
      <c r="Q118" s="33">
        <f t="shared" si="114"/>
        <v>636</v>
      </c>
      <c r="R118" s="33">
        <f t="shared" si="114"/>
        <v>699.6</v>
      </c>
      <c r="S118" s="33">
        <f t="shared" si="114"/>
        <v>742</v>
      </c>
      <c r="T118" s="33">
        <f t="shared" si="114"/>
        <v>784.4</v>
      </c>
      <c r="U118" s="33">
        <f t="shared" si="114"/>
        <v>826.8</v>
      </c>
      <c r="V118" s="33">
        <f t="shared" si="114"/>
        <v>848</v>
      </c>
      <c r="W118" s="33">
        <f t="shared" si="114"/>
        <v>1356.8</v>
      </c>
      <c r="X118" s="33">
        <f t="shared" si="114"/>
        <v>1865.6</v>
      </c>
      <c r="Y118" s="33">
        <f t="shared" si="114"/>
        <v>2374.4</v>
      </c>
      <c r="Z118" s="33">
        <f t="shared" si="114"/>
        <v>2883.2</v>
      </c>
      <c r="AA118" s="33">
        <f t="shared" si="114"/>
        <v>1696</v>
      </c>
      <c r="AB118" s="33">
        <f t="shared" si="114"/>
        <v>3392</v>
      </c>
      <c r="AC118" s="33">
        <f t="shared" si="114"/>
        <v>6784</v>
      </c>
      <c r="AD118" s="33">
        <f t="shared" si="114"/>
        <v>13568</v>
      </c>
      <c r="AE118" s="33">
        <f t="shared" si="114"/>
        <v>27136</v>
      </c>
      <c r="AF118" s="33">
        <f t="shared" si="114"/>
        <v>54272</v>
      </c>
      <c r="AG118" s="33">
        <f t="shared" si="114"/>
        <v>108544</v>
      </c>
      <c r="AH118" s="33">
        <f t="shared" si="114"/>
        <v>217088</v>
      </c>
      <c r="AI118" s="33">
        <f t="shared" si="114"/>
        <v>434176</v>
      </c>
      <c r="AJ118" s="84">
        <f t="shared" si="114"/>
        <v>868352</v>
      </c>
      <c r="AK118" s="33">
        <f t="shared" si="114"/>
        <v>1736704</v>
      </c>
      <c r="AL118" s="84">
        <f t="shared" si="114"/>
        <v>2717204</v>
      </c>
      <c r="AM118" s="57"/>
    </row>
    <row r="119" spans="1:39" x14ac:dyDescent="0.25">
      <c r="A119" s="53"/>
      <c r="B119" s="28"/>
      <c r="C119" s="28"/>
      <c r="D119" s="37"/>
      <c r="E119" s="37"/>
      <c r="F119" s="37"/>
      <c r="G119" s="58">
        <v>0.06</v>
      </c>
      <c r="H119" s="28"/>
      <c r="I119" s="41">
        <f t="shared" ref="I119:AH119" si="115">I118*$G$119</f>
        <v>0.19874999999999998</v>
      </c>
      <c r="J119" s="42">
        <f t="shared" si="115"/>
        <v>0.39749999999999996</v>
      </c>
      <c r="K119" s="42">
        <f t="shared" si="115"/>
        <v>0.79499999999999993</v>
      </c>
      <c r="L119" s="42">
        <f t="shared" si="115"/>
        <v>1.5899999999999999</v>
      </c>
      <c r="M119" s="42">
        <f t="shared" si="115"/>
        <v>3.1799999999999997</v>
      </c>
      <c r="N119" s="42">
        <f t="shared" si="115"/>
        <v>6.3599999999999994</v>
      </c>
      <c r="O119" s="42">
        <f t="shared" si="115"/>
        <v>12.719999999999999</v>
      </c>
      <c r="P119" s="42">
        <f t="shared" si="115"/>
        <v>25.439999999999998</v>
      </c>
      <c r="Q119" s="42">
        <f t="shared" ref="Q119:U119" si="116">Q118*$G$119</f>
        <v>38.159999999999997</v>
      </c>
      <c r="R119" s="42">
        <f t="shared" si="116"/>
        <v>41.975999999999999</v>
      </c>
      <c r="S119" s="42">
        <f t="shared" ref="S119:T119" si="117">S118*$G$119</f>
        <v>44.519999999999996</v>
      </c>
      <c r="T119" s="42">
        <f t="shared" si="117"/>
        <v>47.064</v>
      </c>
      <c r="U119" s="42">
        <f t="shared" si="116"/>
        <v>49.607999999999997</v>
      </c>
      <c r="V119" s="42">
        <f t="shared" si="115"/>
        <v>50.879999999999995</v>
      </c>
      <c r="W119" s="42">
        <f t="shared" ref="W119:Z119" si="118">W118*$G$119</f>
        <v>81.408000000000001</v>
      </c>
      <c r="X119" s="42">
        <f t="shared" si="118"/>
        <v>111.93599999999999</v>
      </c>
      <c r="Y119" s="42">
        <f t="shared" si="118"/>
        <v>142.464</v>
      </c>
      <c r="Z119" s="42">
        <f t="shared" si="118"/>
        <v>172.99199999999999</v>
      </c>
      <c r="AA119" s="42">
        <f t="shared" si="115"/>
        <v>101.75999999999999</v>
      </c>
      <c r="AB119" s="42">
        <f t="shared" si="115"/>
        <v>203.51999999999998</v>
      </c>
      <c r="AC119" s="42">
        <f t="shared" si="115"/>
        <v>407.03999999999996</v>
      </c>
      <c r="AD119" s="42">
        <f t="shared" si="115"/>
        <v>814.07999999999993</v>
      </c>
      <c r="AE119" s="42">
        <f t="shared" si="115"/>
        <v>1628.1599999999999</v>
      </c>
      <c r="AF119" s="42">
        <f t="shared" si="115"/>
        <v>3256.3199999999997</v>
      </c>
      <c r="AG119" s="42">
        <f t="shared" si="115"/>
        <v>6512.6399999999994</v>
      </c>
      <c r="AH119" s="42">
        <f t="shared" si="115"/>
        <v>13025.279999999999</v>
      </c>
      <c r="AI119" s="42">
        <f>AI118*$G$119</f>
        <v>26050.559999999998</v>
      </c>
      <c r="AJ119" s="83">
        <f>AJ118*$G$119</f>
        <v>52101.119999999995</v>
      </c>
      <c r="AK119" s="42">
        <f>AK118*$G$119</f>
        <v>104202.23999999999</v>
      </c>
      <c r="AL119" s="83">
        <f>AL118*$G$119</f>
        <v>163032.24</v>
      </c>
      <c r="AM119" s="57"/>
    </row>
    <row r="120" spans="1:39" x14ac:dyDescent="0.25">
      <c r="A120" s="53" t="s">
        <v>9</v>
      </c>
      <c r="B120" s="36">
        <v>1.7999999999999999E-2</v>
      </c>
      <c r="C120" s="22">
        <f>$B$43 * B120</f>
        <v>461411.99999999994</v>
      </c>
      <c r="D120" s="59"/>
      <c r="E120" s="59"/>
      <c r="F120" s="59"/>
      <c r="G120" s="28"/>
      <c r="H120" s="28"/>
      <c r="I120" s="32">
        <f t="shared" ref="I120:AL120" si="119">I$57*$B$120</f>
        <v>0.5625</v>
      </c>
      <c r="J120" s="33">
        <f t="shared" si="119"/>
        <v>1.125</v>
      </c>
      <c r="K120" s="33">
        <f t="shared" si="119"/>
        <v>2.25</v>
      </c>
      <c r="L120" s="33">
        <f t="shared" si="119"/>
        <v>4.5</v>
      </c>
      <c r="M120" s="33">
        <f t="shared" si="119"/>
        <v>9</v>
      </c>
      <c r="N120" s="33">
        <f t="shared" si="119"/>
        <v>18</v>
      </c>
      <c r="O120" s="33">
        <f t="shared" si="119"/>
        <v>36</v>
      </c>
      <c r="P120" s="33">
        <f t="shared" si="119"/>
        <v>72</v>
      </c>
      <c r="Q120" s="33">
        <f t="shared" si="119"/>
        <v>107.99999999999999</v>
      </c>
      <c r="R120" s="33">
        <f t="shared" si="119"/>
        <v>118.8</v>
      </c>
      <c r="S120" s="33">
        <f t="shared" si="119"/>
        <v>125.99999999999999</v>
      </c>
      <c r="T120" s="33">
        <f t="shared" si="119"/>
        <v>133.19999999999999</v>
      </c>
      <c r="U120" s="33">
        <f t="shared" si="119"/>
        <v>140.39999999999998</v>
      </c>
      <c r="V120" s="33">
        <f t="shared" si="119"/>
        <v>144</v>
      </c>
      <c r="W120" s="33">
        <f t="shared" si="119"/>
        <v>230.39999999999998</v>
      </c>
      <c r="X120" s="33">
        <f t="shared" si="119"/>
        <v>316.79999999999995</v>
      </c>
      <c r="Y120" s="33">
        <f t="shared" si="119"/>
        <v>403.2</v>
      </c>
      <c r="Z120" s="33">
        <f t="shared" si="119"/>
        <v>489.59999999999997</v>
      </c>
      <c r="AA120" s="33">
        <f t="shared" si="119"/>
        <v>288</v>
      </c>
      <c r="AB120" s="33">
        <f t="shared" si="119"/>
        <v>576</v>
      </c>
      <c r="AC120" s="33">
        <f t="shared" si="119"/>
        <v>1152</v>
      </c>
      <c r="AD120" s="33">
        <f t="shared" si="119"/>
        <v>2304</v>
      </c>
      <c r="AE120" s="33">
        <f t="shared" si="119"/>
        <v>4608</v>
      </c>
      <c r="AF120" s="33">
        <f t="shared" si="119"/>
        <v>9216</v>
      </c>
      <c r="AG120" s="33">
        <f t="shared" si="119"/>
        <v>18432</v>
      </c>
      <c r="AH120" s="33">
        <f t="shared" si="119"/>
        <v>36864</v>
      </c>
      <c r="AI120" s="33">
        <f t="shared" si="119"/>
        <v>73728</v>
      </c>
      <c r="AJ120" s="84">
        <f t="shared" si="119"/>
        <v>147456</v>
      </c>
      <c r="AK120" s="33">
        <f t="shared" si="119"/>
        <v>294912</v>
      </c>
      <c r="AL120" s="84">
        <f t="shared" si="119"/>
        <v>461411.99999999994</v>
      </c>
      <c r="AM120" s="57"/>
    </row>
    <row r="121" spans="1:39" x14ac:dyDescent="0.25">
      <c r="A121" s="53"/>
      <c r="B121" s="28"/>
      <c r="C121" s="28"/>
      <c r="D121" s="37"/>
      <c r="E121" s="37"/>
      <c r="F121" s="37"/>
      <c r="G121" s="58">
        <v>5.6000000000000001E-2</v>
      </c>
      <c r="H121" s="28"/>
      <c r="I121" s="41">
        <f t="shared" ref="I121:AH121" si="120">I120*$G$121</f>
        <v>3.15E-2</v>
      </c>
      <c r="J121" s="42">
        <f t="shared" si="120"/>
        <v>6.3E-2</v>
      </c>
      <c r="K121" s="42">
        <f t="shared" si="120"/>
        <v>0.126</v>
      </c>
      <c r="L121" s="42">
        <f t="shared" si="120"/>
        <v>0.252</v>
      </c>
      <c r="M121" s="42">
        <f t="shared" si="120"/>
        <v>0.504</v>
      </c>
      <c r="N121" s="42">
        <f t="shared" si="120"/>
        <v>1.008</v>
      </c>
      <c r="O121" s="42">
        <f t="shared" si="120"/>
        <v>2.016</v>
      </c>
      <c r="P121" s="42">
        <f t="shared" si="120"/>
        <v>4.032</v>
      </c>
      <c r="Q121" s="42">
        <f t="shared" ref="Q121:U121" si="121">Q120*$G$121</f>
        <v>6.0479999999999992</v>
      </c>
      <c r="R121" s="42">
        <f t="shared" si="121"/>
        <v>6.6528</v>
      </c>
      <c r="S121" s="42">
        <f t="shared" ref="S121:T121" si="122">S120*$G$121</f>
        <v>7.0559999999999992</v>
      </c>
      <c r="T121" s="42">
        <f t="shared" si="122"/>
        <v>7.4591999999999992</v>
      </c>
      <c r="U121" s="42">
        <f t="shared" si="121"/>
        <v>7.8623999999999992</v>
      </c>
      <c r="V121" s="42">
        <f t="shared" si="120"/>
        <v>8.0640000000000001</v>
      </c>
      <c r="W121" s="42">
        <f t="shared" ref="W121:Z121" si="123">W120*$G$121</f>
        <v>12.902399999999998</v>
      </c>
      <c r="X121" s="42">
        <f t="shared" si="123"/>
        <v>17.740799999999997</v>
      </c>
      <c r="Y121" s="42">
        <f t="shared" si="123"/>
        <v>22.5792</v>
      </c>
      <c r="Z121" s="42">
        <f t="shared" si="123"/>
        <v>27.4176</v>
      </c>
      <c r="AA121" s="42">
        <f t="shared" si="120"/>
        <v>16.128</v>
      </c>
      <c r="AB121" s="42">
        <f t="shared" si="120"/>
        <v>32.256</v>
      </c>
      <c r="AC121" s="42">
        <f t="shared" si="120"/>
        <v>64.512</v>
      </c>
      <c r="AD121" s="42">
        <f t="shared" si="120"/>
        <v>129.024</v>
      </c>
      <c r="AE121" s="42">
        <f t="shared" si="120"/>
        <v>258.048</v>
      </c>
      <c r="AF121" s="42">
        <f t="shared" si="120"/>
        <v>516.096</v>
      </c>
      <c r="AG121" s="42">
        <f t="shared" si="120"/>
        <v>1032.192</v>
      </c>
      <c r="AH121" s="42">
        <f t="shared" si="120"/>
        <v>2064.384</v>
      </c>
      <c r="AI121" s="42">
        <f>AI120*$G$121</f>
        <v>4128.768</v>
      </c>
      <c r="AJ121" s="83">
        <f>AJ120*$G$121</f>
        <v>8257.5360000000001</v>
      </c>
      <c r="AK121" s="42">
        <f>AK120*$G$121</f>
        <v>16515.072</v>
      </c>
      <c r="AL121" s="83">
        <f>AL120*$G$121</f>
        <v>25839.071999999996</v>
      </c>
      <c r="AM121" s="57"/>
    </row>
    <row r="122" spans="1:39" x14ac:dyDescent="0.25">
      <c r="A122" s="53" t="s">
        <v>10</v>
      </c>
      <c r="B122" s="36">
        <v>0.152</v>
      </c>
      <c r="C122" s="22">
        <f>$B$43 * B122</f>
        <v>3896368</v>
      </c>
      <c r="D122" s="59"/>
      <c r="E122" s="59"/>
      <c r="F122" s="59"/>
      <c r="G122" s="28"/>
      <c r="H122" s="28"/>
      <c r="I122" s="32">
        <f t="shared" ref="I122:AL122" si="124">I$57*$B$122</f>
        <v>4.75</v>
      </c>
      <c r="J122" s="33">
        <f t="shared" si="124"/>
        <v>9.5</v>
      </c>
      <c r="K122" s="33">
        <f t="shared" si="124"/>
        <v>19</v>
      </c>
      <c r="L122" s="33">
        <f t="shared" si="124"/>
        <v>38</v>
      </c>
      <c r="M122" s="33">
        <f t="shared" si="124"/>
        <v>76</v>
      </c>
      <c r="N122" s="33">
        <f t="shared" si="124"/>
        <v>152</v>
      </c>
      <c r="O122" s="33">
        <f t="shared" si="124"/>
        <v>304</v>
      </c>
      <c r="P122" s="33">
        <f t="shared" si="124"/>
        <v>608</v>
      </c>
      <c r="Q122" s="33">
        <f t="shared" si="124"/>
        <v>912</v>
      </c>
      <c r="R122" s="33">
        <f t="shared" si="124"/>
        <v>1003.1999999999999</v>
      </c>
      <c r="S122" s="33">
        <f t="shared" si="124"/>
        <v>1064</v>
      </c>
      <c r="T122" s="33">
        <f t="shared" si="124"/>
        <v>1124.8</v>
      </c>
      <c r="U122" s="33">
        <f t="shared" si="124"/>
        <v>1185.5999999999999</v>
      </c>
      <c r="V122" s="33">
        <f t="shared" si="124"/>
        <v>1216</v>
      </c>
      <c r="W122" s="33">
        <f t="shared" si="124"/>
        <v>1945.6</v>
      </c>
      <c r="X122" s="33">
        <f t="shared" si="124"/>
        <v>2675.2</v>
      </c>
      <c r="Y122" s="33">
        <f t="shared" si="124"/>
        <v>3404.7999999999997</v>
      </c>
      <c r="Z122" s="33">
        <f t="shared" si="124"/>
        <v>4134.3999999999996</v>
      </c>
      <c r="AA122" s="33">
        <f t="shared" si="124"/>
        <v>2432</v>
      </c>
      <c r="AB122" s="33">
        <f t="shared" si="124"/>
        <v>4864</v>
      </c>
      <c r="AC122" s="33">
        <f t="shared" si="124"/>
        <v>9728</v>
      </c>
      <c r="AD122" s="33">
        <f t="shared" si="124"/>
        <v>19456</v>
      </c>
      <c r="AE122" s="33">
        <f t="shared" si="124"/>
        <v>38912</v>
      </c>
      <c r="AF122" s="33">
        <f t="shared" si="124"/>
        <v>77824</v>
      </c>
      <c r="AG122" s="33">
        <f t="shared" si="124"/>
        <v>155648</v>
      </c>
      <c r="AH122" s="33">
        <f t="shared" si="124"/>
        <v>311296</v>
      </c>
      <c r="AI122" s="33">
        <f t="shared" si="124"/>
        <v>622592</v>
      </c>
      <c r="AJ122" s="84">
        <f t="shared" si="124"/>
        <v>1245184</v>
      </c>
      <c r="AK122" s="33">
        <f t="shared" si="124"/>
        <v>2490368</v>
      </c>
      <c r="AL122" s="84">
        <f t="shared" si="124"/>
        <v>3896368</v>
      </c>
      <c r="AM122" s="57"/>
    </row>
    <row r="123" spans="1:39" x14ac:dyDescent="0.25">
      <c r="A123" s="49"/>
      <c r="B123" s="51"/>
      <c r="C123" s="51"/>
      <c r="D123" s="67"/>
      <c r="E123" s="67"/>
      <c r="F123" s="67"/>
      <c r="G123" s="68" t="s">
        <v>11</v>
      </c>
      <c r="H123" s="51"/>
      <c r="I123" s="41" t="s">
        <v>11</v>
      </c>
      <c r="J123" s="42" t="s">
        <v>11</v>
      </c>
      <c r="K123" s="42" t="s">
        <v>11</v>
      </c>
      <c r="L123" s="42" t="s">
        <v>11</v>
      </c>
      <c r="M123" s="42" t="s">
        <v>11</v>
      </c>
      <c r="N123" s="42" t="s">
        <v>11</v>
      </c>
      <c r="O123" s="42" t="s">
        <v>11</v>
      </c>
      <c r="P123" s="42" t="s">
        <v>11</v>
      </c>
      <c r="Q123" s="42" t="s">
        <v>11</v>
      </c>
      <c r="R123" s="42" t="s">
        <v>11</v>
      </c>
      <c r="S123" s="42" t="s">
        <v>11</v>
      </c>
      <c r="T123" s="42" t="s">
        <v>11</v>
      </c>
      <c r="U123" s="42" t="s">
        <v>11</v>
      </c>
      <c r="V123" s="42" t="s">
        <v>11</v>
      </c>
      <c r="W123" s="42" t="s">
        <v>11</v>
      </c>
      <c r="X123" s="42" t="s">
        <v>11</v>
      </c>
      <c r="Y123" s="42" t="s">
        <v>11</v>
      </c>
      <c r="Z123" s="42" t="s">
        <v>11</v>
      </c>
      <c r="AA123" s="42" t="s">
        <v>11</v>
      </c>
      <c r="AB123" s="42" t="s">
        <v>11</v>
      </c>
      <c r="AC123" s="42" t="s">
        <v>11</v>
      </c>
      <c r="AD123" s="42" t="s">
        <v>11</v>
      </c>
      <c r="AE123" s="42" t="s">
        <v>11</v>
      </c>
      <c r="AF123" s="42" t="s">
        <v>11</v>
      </c>
      <c r="AG123" s="42" t="s">
        <v>11</v>
      </c>
      <c r="AH123" s="42" t="s">
        <v>11</v>
      </c>
      <c r="AI123" s="42" t="s">
        <v>11</v>
      </c>
      <c r="AJ123" s="83" t="s">
        <v>11</v>
      </c>
      <c r="AK123" s="44" t="s">
        <v>11</v>
      </c>
      <c r="AL123" s="85" t="s">
        <v>11</v>
      </c>
      <c r="AM123" s="57"/>
    </row>
    <row r="124" spans="1:39" x14ac:dyDescent="0.25">
      <c r="A124" s="53"/>
      <c r="B124" s="28"/>
      <c r="C124" s="28"/>
      <c r="D124" s="59"/>
      <c r="E124" s="59"/>
      <c r="F124" s="59"/>
      <c r="G124" s="28"/>
      <c r="H124" s="28"/>
      <c r="I124" s="30">
        <f>SUM(I112,I114,I116,I118,I120,I122)</f>
        <v>21.40625</v>
      </c>
      <c r="J124" s="31">
        <f t="shared" ref="J124:AH124" si="125">SUM(J112,J114,J116,J118,J120,J122)</f>
        <v>42.8125</v>
      </c>
      <c r="K124" s="31">
        <f t="shared" si="125"/>
        <v>85.625</v>
      </c>
      <c r="L124" s="31">
        <f t="shared" si="125"/>
        <v>171.25</v>
      </c>
      <c r="M124" s="31">
        <f t="shared" si="125"/>
        <v>342.5</v>
      </c>
      <c r="N124" s="31">
        <f t="shared" si="125"/>
        <v>685</v>
      </c>
      <c r="O124" s="31">
        <f>SUM(O112,O114,O116,O118,O120,O122)</f>
        <v>1370</v>
      </c>
      <c r="P124" s="31">
        <f t="shared" si="125"/>
        <v>2740</v>
      </c>
      <c r="Q124" s="31">
        <f t="shared" ref="Q124:U124" si="126">SUM(Q112,Q114,Q116,Q118,Q120,Q122)</f>
        <v>4110</v>
      </c>
      <c r="R124" s="31">
        <f t="shared" si="126"/>
        <v>4521</v>
      </c>
      <c r="S124" s="31">
        <f t="shared" ref="S124:T124" si="127">SUM(S112,S114,S116,S118,S120,S122)</f>
        <v>4795</v>
      </c>
      <c r="T124" s="31">
        <f t="shared" si="127"/>
        <v>5069</v>
      </c>
      <c r="U124" s="31">
        <f t="shared" si="126"/>
        <v>5343</v>
      </c>
      <c r="V124" s="31">
        <f t="shared" si="125"/>
        <v>5480</v>
      </c>
      <c r="W124" s="31">
        <f t="shared" ref="W124:Z124" si="128">SUM(W112,W114,W116,W118,W120,W122)</f>
        <v>8768</v>
      </c>
      <c r="X124" s="31">
        <f t="shared" si="128"/>
        <v>12056</v>
      </c>
      <c r="Y124" s="31">
        <f t="shared" si="128"/>
        <v>15344</v>
      </c>
      <c r="Z124" s="31">
        <f t="shared" si="128"/>
        <v>18632</v>
      </c>
      <c r="AA124" s="31">
        <f t="shared" si="125"/>
        <v>10960</v>
      </c>
      <c r="AB124" s="31">
        <f t="shared" si="125"/>
        <v>21920</v>
      </c>
      <c r="AC124" s="31">
        <f t="shared" si="125"/>
        <v>43840</v>
      </c>
      <c r="AD124" s="31">
        <f t="shared" si="125"/>
        <v>87680</v>
      </c>
      <c r="AE124" s="31">
        <f t="shared" si="125"/>
        <v>175360</v>
      </c>
      <c r="AF124" s="31">
        <f t="shared" si="125"/>
        <v>350720</v>
      </c>
      <c r="AG124" s="31">
        <f t="shared" si="125"/>
        <v>701440</v>
      </c>
      <c r="AH124" s="31">
        <f t="shared" si="125"/>
        <v>1402880</v>
      </c>
      <c r="AI124" s="31">
        <f t="shared" ref="AI124:AL125" si="129">SUM(AI112,AI114,AI116,AI118,AI120,AI122)</f>
        <v>2805760</v>
      </c>
      <c r="AJ124" s="72">
        <f t="shared" si="129"/>
        <v>5611520</v>
      </c>
      <c r="AK124" s="33">
        <f t="shared" si="129"/>
        <v>11223040</v>
      </c>
      <c r="AL124" s="84">
        <f t="shared" si="129"/>
        <v>17559290</v>
      </c>
      <c r="AM124" s="57"/>
    </row>
    <row r="125" spans="1:39" x14ac:dyDescent="0.25">
      <c r="A125" s="49" t="s">
        <v>132</v>
      </c>
      <c r="B125" s="51"/>
      <c r="C125" s="51"/>
      <c r="D125" s="51"/>
      <c r="E125" s="51"/>
      <c r="F125" s="51"/>
      <c r="G125" s="51"/>
      <c r="H125" s="51"/>
      <c r="I125" s="43">
        <f>SUM(I113,I115,I117,I119,I121,I123)</f>
        <v>1.11640625</v>
      </c>
      <c r="J125" s="44">
        <f t="shared" ref="J125:AH125" si="130">SUM(J113,J115,J117,J119,J121,J123)</f>
        <v>2.2328125000000001</v>
      </c>
      <c r="K125" s="44">
        <f t="shared" si="130"/>
        <v>4.4656250000000002</v>
      </c>
      <c r="L125" s="44">
        <f t="shared" si="130"/>
        <v>8.9312500000000004</v>
      </c>
      <c r="M125" s="44">
        <f t="shared" si="130"/>
        <v>17.862500000000001</v>
      </c>
      <c r="N125" s="44">
        <f t="shared" si="130"/>
        <v>35.725000000000001</v>
      </c>
      <c r="O125" s="44">
        <f t="shared" si="130"/>
        <v>71.45</v>
      </c>
      <c r="P125" s="44">
        <f t="shared" si="130"/>
        <v>142.9</v>
      </c>
      <c r="Q125" s="44">
        <f t="shared" ref="Q125:U125" si="131">SUM(Q113,Q115,Q117,Q119,Q121,Q123)</f>
        <v>214.35</v>
      </c>
      <c r="R125" s="44">
        <f t="shared" si="131"/>
        <v>235.78500000000003</v>
      </c>
      <c r="S125" s="44">
        <f t="shared" ref="S125:T125" si="132">SUM(S113,S115,S117,S119,S121,S123)</f>
        <v>250.07500000000002</v>
      </c>
      <c r="T125" s="44">
        <f t="shared" si="132"/>
        <v>264.36500000000001</v>
      </c>
      <c r="U125" s="44">
        <f t="shared" si="131"/>
        <v>278.65499999999997</v>
      </c>
      <c r="V125" s="44">
        <f t="shared" si="130"/>
        <v>285.8</v>
      </c>
      <c r="W125" s="44">
        <f t="shared" ref="W125:Z125" si="133">SUM(W113,W115,W117,W119,W121,W123)</f>
        <v>457.28000000000003</v>
      </c>
      <c r="X125" s="44">
        <f t="shared" si="133"/>
        <v>628.7600000000001</v>
      </c>
      <c r="Y125" s="44">
        <f t="shared" si="133"/>
        <v>800.2399999999999</v>
      </c>
      <c r="Z125" s="44">
        <f t="shared" si="133"/>
        <v>971.71999999999991</v>
      </c>
      <c r="AA125" s="44">
        <f t="shared" si="130"/>
        <v>571.6</v>
      </c>
      <c r="AB125" s="44">
        <f t="shared" si="130"/>
        <v>1143.2</v>
      </c>
      <c r="AC125" s="44">
        <f t="shared" si="130"/>
        <v>2286.4</v>
      </c>
      <c r="AD125" s="44">
        <f t="shared" si="130"/>
        <v>4572.8</v>
      </c>
      <c r="AE125" s="44">
        <f t="shared" si="130"/>
        <v>9145.6</v>
      </c>
      <c r="AF125" s="44">
        <f t="shared" si="130"/>
        <v>18291.2</v>
      </c>
      <c r="AG125" s="44">
        <f t="shared" si="130"/>
        <v>36582.400000000001</v>
      </c>
      <c r="AH125" s="44">
        <f t="shared" si="130"/>
        <v>73164.800000000003</v>
      </c>
      <c r="AI125" s="44">
        <f t="shared" si="129"/>
        <v>146329.60000000001</v>
      </c>
      <c r="AJ125" s="85">
        <f t="shared" si="129"/>
        <v>292659.20000000001</v>
      </c>
      <c r="AK125" s="44">
        <f t="shared" si="129"/>
        <v>585318.40000000002</v>
      </c>
      <c r="AL125" s="85">
        <f t="shared" si="129"/>
        <v>915774.65</v>
      </c>
      <c r="AM125" s="57"/>
    </row>
  </sheetData>
  <conditionalFormatting sqref="AK68:AM68 I68:AI68">
    <cfRule type="cellIs" dxfId="28" priority="36" operator="greaterThan">
      <formula>$C$47</formula>
    </cfRule>
  </conditionalFormatting>
  <conditionalFormatting sqref="AK70:AL70 I70:AI70">
    <cfRule type="cellIs" dxfId="27" priority="35" operator="greaterThan">
      <formula>$C$48</formula>
    </cfRule>
  </conditionalFormatting>
  <conditionalFormatting sqref="I89:AL89">
    <cfRule type="cellIs" dxfId="26" priority="34" operator="greaterThan">
      <formula>$C$89</formula>
    </cfRule>
  </conditionalFormatting>
  <conditionalFormatting sqref="I91:AL91">
    <cfRule type="cellIs" dxfId="25" priority="33" operator="greaterThan">
      <formula>$C$91</formula>
    </cfRule>
  </conditionalFormatting>
  <conditionalFormatting sqref="I93:AL93">
    <cfRule type="cellIs" dxfId="24" priority="32" operator="greaterThan">
      <formula>$C$93</formula>
    </cfRule>
  </conditionalFormatting>
  <conditionalFormatting sqref="I95:AL95">
    <cfRule type="cellIs" dxfId="23" priority="24" operator="greaterThan">
      <formula>$C$95</formula>
    </cfRule>
  </conditionalFormatting>
  <conditionalFormatting sqref="I97:AL97">
    <cfRule type="cellIs" dxfId="22" priority="23" operator="greaterThan">
      <formula>$C$97</formula>
    </cfRule>
  </conditionalFormatting>
  <conditionalFormatting sqref="I99:AL99">
    <cfRule type="cellIs" dxfId="21" priority="22" operator="greaterThan">
      <formula>$C$99</formula>
    </cfRule>
  </conditionalFormatting>
  <conditionalFormatting sqref="I101:AL101">
    <cfRule type="cellIs" dxfId="20" priority="21" operator="greaterThan">
      <formula>$C$101</formula>
    </cfRule>
  </conditionalFormatting>
  <conditionalFormatting sqref="I103:AL103">
    <cfRule type="cellIs" dxfId="19" priority="20" operator="greaterThan">
      <formula>$C$103</formula>
    </cfRule>
  </conditionalFormatting>
  <conditionalFormatting sqref="I105:AL105">
    <cfRule type="cellIs" dxfId="18" priority="19" operator="greaterThan">
      <formula>$C$105</formula>
    </cfRule>
  </conditionalFormatting>
  <conditionalFormatting sqref="AK59:AL59 I59:AI59">
    <cfRule type="cellIs" dxfId="17" priority="18" operator="equal">
      <formula>0</formula>
    </cfRule>
  </conditionalFormatting>
  <conditionalFormatting sqref="AK66 I68:AI68 J70:AI70 I66:AI66">
    <cfRule type="cellIs" dxfId="16" priority="17" operator="equal">
      <formula>0</formula>
    </cfRule>
  </conditionalFormatting>
  <conditionalFormatting sqref="AK68:AL68">
    <cfRule type="cellIs" dxfId="15" priority="16" operator="equal">
      <formula>0</formula>
    </cfRule>
  </conditionalFormatting>
  <conditionalFormatting sqref="AK70:AL70">
    <cfRule type="cellIs" dxfId="14" priority="15" operator="equal">
      <formula>0</formula>
    </cfRule>
  </conditionalFormatting>
  <conditionalFormatting sqref="D91:F91">
    <cfRule type="cellIs" dxfId="13" priority="14" operator="greaterThan">
      <formula>$B$91</formula>
    </cfRule>
  </conditionalFormatting>
  <conditionalFormatting sqref="D93:F93">
    <cfRule type="cellIs" dxfId="12" priority="13" operator="greaterThan">
      <formula>$B$93</formula>
    </cfRule>
  </conditionalFormatting>
  <conditionalFormatting sqref="D95:F95">
    <cfRule type="cellIs" dxfId="11" priority="12" operator="greaterThan">
      <formula>$B$95</formula>
    </cfRule>
  </conditionalFormatting>
  <conditionalFormatting sqref="D97:F97">
    <cfRule type="cellIs" dxfId="10" priority="11" operator="greaterThan">
      <formula>$B$97</formula>
    </cfRule>
  </conditionalFormatting>
  <conditionalFormatting sqref="D99:F99">
    <cfRule type="cellIs" dxfId="9" priority="10" operator="greaterThan">
      <formula>$B$99</formula>
    </cfRule>
  </conditionalFormatting>
  <conditionalFormatting sqref="D101:F101">
    <cfRule type="cellIs" dxfId="8" priority="9" operator="greaterThan">
      <formula>$B$101</formula>
    </cfRule>
  </conditionalFormatting>
  <conditionalFormatting sqref="D103:F103">
    <cfRule type="cellIs" dxfId="7" priority="8" operator="greaterThan">
      <formula>$B$103</formula>
    </cfRule>
  </conditionalFormatting>
  <conditionalFormatting sqref="D105:F105">
    <cfRule type="cellIs" dxfId="6" priority="7" operator="greaterThan">
      <formula>$B$105</formula>
    </cfRule>
  </conditionalFormatting>
  <conditionalFormatting sqref="AJ68">
    <cfRule type="cellIs" dxfId="5" priority="6" operator="greaterThan">
      <formula>$C$47</formula>
    </cfRule>
  </conditionalFormatting>
  <conditionalFormatting sqref="AJ70">
    <cfRule type="cellIs" dxfId="4" priority="5" operator="greaterThan">
      <formula>$C$48</formula>
    </cfRule>
  </conditionalFormatting>
  <conditionalFormatting sqref="AJ59">
    <cfRule type="cellIs" dxfId="3" priority="4" operator="equal">
      <formula>0</formula>
    </cfRule>
  </conditionalFormatting>
  <conditionalFormatting sqref="AJ66">
    <cfRule type="cellIs" dxfId="2" priority="3" operator="equal">
      <formula>0</formula>
    </cfRule>
  </conditionalFormatting>
  <conditionalFormatting sqref="AJ68">
    <cfRule type="cellIs" dxfId="1" priority="2" operator="equal">
      <formula>0</formula>
    </cfRule>
  </conditionalFormatting>
  <conditionalFormatting sqref="AJ70">
    <cfRule type="cellIs" dxfId="0" priority="1" operator="equal">
      <formula>0</formula>
    </cfRule>
  </conditionalFormatting>
  <hyperlinks>
    <hyperlink ref="D88" r:id="rId1" xr:uid="{98D6456F-EA03-4FCB-8D3D-1822F6B38CCF}"/>
    <hyperlink ref="G88" r:id="rId2" location="case-fatality-rate-of-covid-19-by-age" xr:uid="{0058192C-B05A-45D2-8597-C1F9B3D9241E}"/>
    <hyperlink ref="G111" r:id="rId3" location="case-fatality-rate-of-covid-19-by-preexisting-health-conditions" xr:uid="{110A2613-24A6-4768-B90C-571B307D13E2}"/>
    <hyperlink ref="B43" r:id="rId4" display="https://www.abs.gov.au/ausstats/abs@.nsf/0/1647509ef7e25faaca2568a900154b63?opendocument" xr:uid="{63727E5E-0850-4414-8DD8-E50A09A5AEE8}"/>
    <hyperlink ref="B88" r:id="rId5" xr:uid="{E432DB14-5D35-4B35-8F24-1C070D7F22B3}"/>
    <hyperlink ref="B45" r:id="rId6" display="https://cmmid.github.io/topics/covid19/severity/global_cfr_estimates.html" xr:uid="{49B36C88-7FC3-4DAA-BBA5-EABFD6685804}"/>
    <hyperlink ref="A44"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Projections!B43</f>
        <v>25634000</v>
      </c>
      <c r="J3" s="2"/>
    </row>
    <row r="4" spans="2:10" x14ac:dyDescent="0.25">
      <c r="B4" s="195" t="s">
        <v>238</v>
      </c>
      <c r="C4" s="179">
        <v>32</v>
      </c>
      <c r="J4" s="2"/>
    </row>
    <row r="5" spans="2:10" x14ac:dyDescent="0.25">
      <c r="B5" s="195" t="s">
        <v>239</v>
      </c>
      <c r="C5" s="177">
        <v>43892</v>
      </c>
      <c r="J5" s="2"/>
    </row>
    <row r="6" spans="2:10" x14ac:dyDescent="0.25">
      <c r="B6" s="195" t="s">
        <v>221</v>
      </c>
      <c r="C6" s="179">
        <v>8362</v>
      </c>
    </row>
    <row r="7" spans="2:10" x14ac:dyDescent="0.25">
      <c r="B7" s="195" t="s">
        <v>223</v>
      </c>
      <c r="C7" s="177">
        <f ca="1">NOW()</f>
        <v>44016.838102893518</v>
      </c>
    </row>
    <row r="8" spans="2:10" x14ac:dyDescent="0.25">
      <c r="B8" s="195" t="s">
        <v>240</v>
      </c>
      <c r="C8" s="178">
        <f ca="1">C7-C5</f>
        <v>124.83810289351823</v>
      </c>
    </row>
    <row r="9" spans="2:10" x14ac:dyDescent="0.25">
      <c r="B9" s="195" t="s">
        <v>222</v>
      </c>
      <c r="C9" s="180">
        <f ca="1">C8/(LOG(C6/C4)/LOG(2))</f>
        <v>15.547175486169037</v>
      </c>
      <c r="D9" t="s">
        <v>197</v>
      </c>
      <c r="F9" t="s">
        <v>241</v>
      </c>
    </row>
    <row r="10" spans="2:10" x14ac:dyDescent="0.25">
      <c r="B10" s="195" t="s">
        <v>227</v>
      </c>
      <c r="C10" s="179">
        <f>Projections!C47</f>
        <v>66648.400000000009</v>
      </c>
    </row>
    <row r="11" spans="2:10" x14ac:dyDescent="0.25">
      <c r="B11" s="196" t="s">
        <v>228</v>
      </c>
      <c r="C11" s="184">
        <f>Projections!C48</f>
        <v>1896.9159999999999</v>
      </c>
    </row>
    <row r="12" spans="2:10" s="81" customFormat="1" x14ac:dyDescent="0.25">
      <c r="B12" s="74" t="s">
        <v>275</v>
      </c>
      <c r="C12" s="185">
        <f>C6/Projections!B45</f>
        <v>8362</v>
      </c>
    </row>
    <row r="13" spans="2:10" s="81" customFormat="1" x14ac:dyDescent="0.25">
      <c r="B13" s="60" t="s">
        <v>276</v>
      </c>
      <c r="C13" s="186">
        <f ca="1">(C4/Projections!B45)*(2^(((C7-21)-C5)/C9))</f>
        <v>3278.6919990943102</v>
      </c>
    </row>
    <row r="14" spans="2:10" s="81" customFormat="1" x14ac:dyDescent="0.25">
      <c r="B14" s="61" t="s">
        <v>277</v>
      </c>
      <c r="C14" s="165">
        <f ca="1">C12-C13</f>
        <v>5083.3080009056903</v>
      </c>
      <c r="E14" s="182"/>
      <c r="F14" s="183" t="s">
        <v>245</v>
      </c>
      <c r="G14" s="181"/>
    </row>
    <row r="15" spans="2:10" x14ac:dyDescent="0.25">
      <c r="B15" s="16" t="s">
        <v>242</v>
      </c>
      <c r="C15" s="76">
        <f>C6*Projections!B49</f>
        <v>7693.04</v>
      </c>
      <c r="I15" s="176"/>
    </row>
    <row r="16" spans="2:10" x14ac:dyDescent="0.25">
      <c r="B16" s="53" t="s">
        <v>252</v>
      </c>
      <c r="C16" s="95">
        <f ca="1">(C4*Projections!B49)*(2^(((C7-21)-C5)/C9))</f>
        <v>3016.3966391667655</v>
      </c>
      <c r="I16" s="176"/>
    </row>
    <row r="17" spans="2:9" x14ac:dyDescent="0.25">
      <c r="B17" s="53" t="s">
        <v>243</v>
      </c>
      <c r="C17" s="95">
        <f ca="1">C15-C16</f>
        <v>4676.6433608332345</v>
      </c>
      <c r="F17" t="s">
        <v>246</v>
      </c>
      <c r="I17" s="176"/>
    </row>
    <row r="18" spans="2:9" x14ac:dyDescent="0.25">
      <c r="B18" s="16" t="s">
        <v>248</v>
      </c>
      <c r="C18" s="76">
        <f>C6*Projections!B50</f>
        <v>418.1</v>
      </c>
    </row>
    <row r="19" spans="2:9" x14ac:dyDescent="0.25">
      <c r="B19" s="53" t="s">
        <v>253</v>
      </c>
      <c r="C19" s="95">
        <f ca="1">(C4*Projections!B50)*(2^(((C7-49)-C5)/C9))</f>
        <v>47.046201981487386</v>
      </c>
    </row>
    <row r="20" spans="2:9" x14ac:dyDescent="0.25">
      <c r="B20" s="53" t="s">
        <v>247</v>
      </c>
      <c r="C20" s="95">
        <f ca="1">C18-C19</f>
        <v>371.05379801851262</v>
      </c>
      <c r="F20" t="s">
        <v>251</v>
      </c>
    </row>
    <row r="21" spans="2:9" x14ac:dyDescent="0.25">
      <c r="B21" s="16" t="s">
        <v>249</v>
      </c>
      <c r="C21" s="76">
        <f>C6*Projections!B51</f>
        <v>250.85999999999999</v>
      </c>
      <c r="I21" s="176"/>
    </row>
    <row r="22" spans="2:9" x14ac:dyDescent="0.25">
      <c r="B22" s="53" t="s">
        <v>254</v>
      </c>
      <c r="C22" s="95">
        <f ca="1">(C4*Projections!B51)*(2^(((C7-49)-C5)/C9))</f>
        <v>28.227721188892428</v>
      </c>
      <c r="I22" s="176"/>
    </row>
    <row r="23" spans="2:9" x14ac:dyDescent="0.25">
      <c r="B23" s="53" t="s">
        <v>250</v>
      </c>
      <c r="C23" s="95">
        <f ca="1">C21-C22</f>
        <v>222.63227881110757</v>
      </c>
      <c r="I23" s="176"/>
    </row>
    <row r="24" spans="2:9" x14ac:dyDescent="0.25">
      <c r="B24" s="16" t="s">
        <v>255</v>
      </c>
      <c r="C24" s="76">
        <f>C6*Projections!B52</f>
        <v>117.068</v>
      </c>
    </row>
    <row r="25" spans="2:9" x14ac:dyDescent="0.25">
      <c r="B25" s="49" t="s">
        <v>256</v>
      </c>
      <c r="C25" s="73">
        <f ca="1">(C4*Projections!B52)*(2^(((C7-42)-C5)/C9))</f>
        <v>17.997787269666436</v>
      </c>
      <c r="F25" t="s">
        <v>257</v>
      </c>
    </row>
    <row r="26" spans="2:9" x14ac:dyDescent="0.25">
      <c r="B26" s="53" t="s">
        <v>233</v>
      </c>
      <c r="C26" s="189">
        <f ca="1">C9*(LOG(C10/C21)/LOG(2))</f>
        <v>125.20986157557073</v>
      </c>
      <c r="D26" t="s">
        <v>197</v>
      </c>
      <c r="F26" s="81" t="s">
        <v>258</v>
      </c>
    </row>
    <row r="27" spans="2:9" x14ac:dyDescent="0.25">
      <c r="B27" s="49" t="s">
        <v>229</v>
      </c>
      <c r="C27" s="188">
        <f ca="1">C7+C26</f>
        <v>44142.047964469086</v>
      </c>
      <c r="F27" t="s">
        <v>259</v>
      </c>
    </row>
    <row r="28" spans="2:9" x14ac:dyDescent="0.25">
      <c r="B28" s="16" t="s">
        <v>234</v>
      </c>
      <c r="C28" s="187">
        <f ca="1">C9*(LOG(C11/C21)/LOG(2))</f>
        <v>45.377563476790449</v>
      </c>
      <c r="D28" t="s">
        <v>197</v>
      </c>
    </row>
    <row r="29" spans="2:9" x14ac:dyDescent="0.25">
      <c r="B29" s="49" t="s">
        <v>230</v>
      </c>
      <c r="C29" s="188">
        <f ca="1">C7+C28</f>
        <v>44062.215666370306</v>
      </c>
      <c r="F29" t="s">
        <v>259</v>
      </c>
    </row>
    <row r="30" spans="2:9" x14ac:dyDescent="0.25">
      <c r="B30" s="16" t="s">
        <v>235</v>
      </c>
      <c r="C30" s="187">
        <f ca="1">C9*(LOG((C3*0.6)/C12)/LOG(2))</f>
        <v>168.60845522070855</v>
      </c>
      <c r="D30" t="s">
        <v>197</v>
      </c>
    </row>
    <row r="31" spans="2:9" x14ac:dyDescent="0.25">
      <c r="B31" s="49" t="s">
        <v>232</v>
      </c>
      <c r="C31" s="188">
        <f ca="1">C7+C30</f>
        <v>44185.446558114229</v>
      </c>
    </row>
    <row r="34" spans="2:6" x14ac:dyDescent="0.25">
      <c r="B34" s="16" t="s">
        <v>236</v>
      </c>
      <c r="C34" s="177">
        <f ca="1">C7+30</f>
        <v>44046.838102893518</v>
      </c>
      <c r="F34" t="s">
        <v>278</v>
      </c>
    </row>
    <row r="35" spans="2:6" x14ac:dyDescent="0.25">
      <c r="B35" s="53" t="s">
        <v>237</v>
      </c>
      <c r="C35" s="95">
        <f ca="1">C6*(2^((C34-C7)/C9))</f>
        <v>31855.244146419805</v>
      </c>
      <c r="F35" t="s">
        <v>244</v>
      </c>
    </row>
    <row r="36" spans="2:6" x14ac:dyDescent="0.25">
      <c r="B36" s="53" t="s">
        <v>231</v>
      </c>
      <c r="C36" s="95">
        <f ca="1">C35/Projections!B45</f>
        <v>31855.244146419805</v>
      </c>
    </row>
    <row r="37" spans="2:6" x14ac:dyDescent="0.25">
      <c r="B37" s="53" t="s">
        <v>172</v>
      </c>
      <c r="C37" s="95">
        <f ca="1">C35*Projections!B49</f>
        <v>29306.824614706224</v>
      </c>
    </row>
    <row r="38" spans="2:6" x14ac:dyDescent="0.25">
      <c r="B38" s="53" t="s">
        <v>224</v>
      </c>
      <c r="C38" s="95">
        <f ca="1">C35*Projections!B50</f>
        <v>1592.7622073209905</v>
      </c>
    </row>
    <row r="39" spans="2:6" x14ac:dyDescent="0.25">
      <c r="B39" s="53" t="s">
        <v>225</v>
      </c>
      <c r="C39" s="95">
        <f ca="1">C35*Projections!B51</f>
        <v>955.65732439259409</v>
      </c>
    </row>
    <row r="40" spans="2:6" x14ac:dyDescent="0.25">
      <c r="B40" s="49" t="s">
        <v>226</v>
      </c>
      <c r="C40" s="73">
        <f ca="1">C35*Projections!B52</f>
        <v>445.9734180498773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4">
        <v>118</v>
      </c>
      <c r="C11" s="284">
        <v>115</v>
      </c>
      <c r="D11">
        <f t="shared" si="1"/>
        <v>233</v>
      </c>
      <c r="E11" s="3">
        <f t="shared" si="0"/>
        <v>3.2469342251950944E-2</v>
      </c>
    </row>
    <row r="12" spans="1:5" x14ac:dyDescent="0.25">
      <c r="A12" s="54" t="s">
        <v>21</v>
      </c>
      <c r="B12" s="284">
        <v>52</v>
      </c>
      <c r="C12" s="284">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5" t="s">
        <v>303</v>
      </c>
      <c r="I17" s="194" t="s">
        <v>304</v>
      </c>
      <c r="J17" s="194" t="s">
        <v>305</v>
      </c>
    </row>
    <row r="18" spans="1:10" x14ac:dyDescent="0.25">
      <c r="A18" s="53" t="s">
        <v>13</v>
      </c>
      <c r="B18" s="28">
        <v>27</v>
      </c>
      <c r="C18" s="28">
        <v>28</v>
      </c>
      <c r="D18">
        <f>SUM(B18:C18)</f>
        <v>55</v>
      </c>
      <c r="E18" s="3">
        <f>D18/$D$28</f>
        <v>0.53921568627450978</v>
      </c>
      <c r="F18" s="3">
        <f>D18/D4</f>
        <v>0.22727272727272727</v>
      </c>
      <c r="H18" s="286">
        <v>0.14799999999999999</v>
      </c>
      <c r="I18" s="286">
        <v>0.20200000000000001</v>
      </c>
      <c r="J18" s="286">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7">
        <v>0.08</v>
      </c>
      <c r="I19" s="287">
        <v>0.128</v>
      </c>
      <c r="J19" s="287">
        <v>4.8000000000000001E-2</v>
      </c>
    </row>
    <row r="20" spans="1:10" x14ac:dyDescent="0.25">
      <c r="A20" s="53" t="s">
        <v>15</v>
      </c>
      <c r="B20" s="28">
        <v>6</v>
      </c>
      <c r="C20" s="28">
        <v>4</v>
      </c>
      <c r="D20">
        <f t="shared" si="2"/>
        <v>10</v>
      </c>
      <c r="E20" s="3">
        <f t="shared" si="3"/>
        <v>9.8039215686274508E-2</v>
      </c>
      <c r="F20" s="3">
        <f t="shared" si="4"/>
        <v>8.5836909871244635E-3</v>
      </c>
      <c r="H20" s="287">
        <v>3.5999999999999997E-2</v>
      </c>
      <c r="I20" s="287">
        <v>3.5000000000000003E-2</v>
      </c>
      <c r="J20" s="287">
        <v>1.9E-2</v>
      </c>
    </row>
    <row r="21" spans="1:10" x14ac:dyDescent="0.25">
      <c r="A21" s="53" t="s">
        <v>16</v>
      </c>
      <c r="B21" s="59">
        <v>1</v>
      </c>
      <c r="C21" s="59">
        <v>1</v>
      </c>
      <c r="D21">
        <f t="shared" si="2"/>
        <v>2</v>
      </c>
      <c r="E21" s="3">
        <f t="shared" si="3"/>
        <v>1.9607843137254902E-2</v>
      </c>
      <c r="F21" s="3">
        <f>D21/D7</f>
        <v>1.7667844522968198E-3</v>
      </c>
      <c r="H21" s="287">
        <v>1.2999999999999999E-2</v>
      </c>
      <c r="I21" s="287">
        <v>0.01</v>
      </c>
      <c r="J21" s="287">
        <v>4.0000000000000001E-3</v>
      </c>
    </row>
    <row r="22" spans="1:10" x14ac:dyDescent="0.25">
      <c r="A22" s="53" t="s">
        <v>17</v>
      </c>
      <c r="B22" s="59">
        <v>1</v>
      </c>
      <c r="C22" s="59">
        <v>0</v>
      </c>
      <c r="D22">
        <f t="shared" si="2"/>
        <v>1</v>
      </c>
      <c r="E22" s="3">
        <f t="shared" si="3"/>
        <v>9.8039215686274508E-3</v>
      </c>
      <c r="F22" s="3">
        <f t="shared" si="4"/>
        <v>1.0940919037199124E-3</v>
      </c>
      <c r="H22" s="287">
        <v>4.0000000000000001E-3</v>
      </c>
      <c r="I22" s="287">
        <v>4.0000000000000001E-3</v>
      </c>
      <c r="J22" s="287">
        <v>3.0000000000000001E-3</v>
      </c>
    </row>
    <row r="23" spans="1:10" x14ac:dyDescent="0.25">
      <c r="A23" s="53" t="s">
        <v>18</v>
      </c>
      <c r="B23" s="59">
        <v>0</v>
      </c>
      <c r="C23" s="59">
        <v>0</v>
      </c>
      <c r="D23">
        <f t="shared" si="2"/>
        <v>0</v>
      </c>
      <c r="E23" s="3">
        <f t="shared" si="3"/>
        <v>0</v>
      </c>
      <c r="F23" s="3">
        <f t="shared" si="4"/>
        <v>0</v>
      </c>
      <c r="H23" s="287">
        <v>2E-3</v>
      </c>
      <c r="I23" s="287">
        <v>3.0000000000000001E-3</v>
      </c>
      <c r="J23" s="287">
        <v>1.4E-3</v>
      </c>
    </row>
    <row r="24" spans="1:10" x14ac:dyDescent="0.25">
      <c r="A24" s="53" t="s">
        <v>19</v>
      </c>
      <c r="B24" s="59">
        <v>0</v>
      </c>
      <c r="C24" s="59">
        <v>0</v>
      </c>
      <c r="D24">
        <f t="shared" si="2"/>
        <v>0</v>
      </c>
      <c r="E24" s="3">
        <f t="shared" si="3"/>
        <v>0</v>
      </c>
      <c r="F24" s="3">
        <f t="shared" si="4"/>
        <v>0</v>
      </c>
      <c r="H24" s="287">
        <v>2E-3</v>
      </c>
      <c r="I24" s="287">
        <v>0</v>
      </c>
      <c r="J24" s="287">
        <v>2.2000000000000001E-3</v>
      </c>
    </row>
    <row r="25" spans="1:10" x14ac:dyDescent="0.25">
      <c r="A25" s="54" t="s">
        <v>20</v>
      </c>
      <c r="B25" s="284">
        <v>0</v>
      </c>
      <c r="C25" s="284">
        <v>0</v>
      </c>
      <c r="D25">
        <f t="shared" si="2"/>
        <v>0</v>
      </c>
      <c r="E25" s="3">
        <f t="shared" si="3"/>
        <v>0</v>
      </c>
      <c r="F25" s="3">
        <f t="shared" si="4"/>
        <v>0</v>
      </c>
      <c r="H25" s="287">
        <v>2E-3</v>
      </c>
      <c r="I25" s="287">
        <v>0</v>
      </c>
      <c r="J25" s="287">
        <v>0</v>
      </c>
    </row>
    <row r="26" spans="1:10" x14ac:dyDescent="0.25">
      <c r="A26" s="54" t="s">
        <v>21</v>
      </c>
      <c r="B26" s="284">
        <v>0</v>
      </c>
      <c r="C26" s="284">
        <v>0</v>
      </c>
      <c r="D26">
        <f t="shared" si="2"/>
        <v>0</v>
      </c>
      <c r="E26" s="3">
        <f t="shared" si="3"/>
        <v>0</v>
      </c>
      <c r="F26" s="3">
        <f t="shared" si="4"/>
        <v>0</v>
      </c>
      <c r="H26" s="288">
        <v>0</v>
      </c>
      <c r="I26" s="288">
        <v>0</v>
      </c>
      <c r="J26" s="288">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2020-07-04T10:07:14Z</dcterms:modified>
</cp:coreProperties>
</file>