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8BDCF32B-3954-400A-BB5E-2295B34F9661}" xr6:coauthVersionLast="45" xr6:coauthVersionMax="45" xr10:uidLastSave="{00000000-0000-0000-0000-000000000000}"/>
  <bookViews>
    <workbookView xWindow="390" yWindow="390" windowWidth="37605" windowHeight="21000"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 name="US COVID-19 pathology" sheetId="7" r:id="rId6"/>
    <sheet name="US Death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N334" i="1" l="1"/>
  <c r="AN362" i="1"/>
  <c r="D17" i="7" l="1"/>
  <c r="D18" i="7"/>
  <c r="D19" i="7"/>
  <c r="D20" i="7"/>
  <c r="D21" i="7"/>
  <c r="C18" i="7"/>
  <c r="C19" i="7"/>
  <c r="C20" i="7"/>
  <c r="C21" i="7"/>
  <c r="C17" i="7"/>
  <c r="C6" i="7"/>
  <c r="C7" i="7"/>
  <c r="C8" i="7"/>
  <c r="C9" i="7"/>
  <c r="C10" i="7"/>
  <c r="C11" i="7"/>
  <c r="C12" i="7"/>
  <c r="C13" i="7"/>
  <c r="C5" i="7"/>
  <c r="AM362" i="1" l="1"/>
  <c r="C20" i="6" l="1"/>
  <c r="R8" i="6" l="1"/>
  <c r="C52" i="6"/>
  <c r="C53" i="6"/>
  <c r="C54" i="6"/>
  <c r="C55" i="6"/>
  <c r="C56" i="6"/>
  <c r="C57" i="6"/>
  <c r="C58" i="6"/>
  <c r="C59" i="6"/>
  <c r="C60" i="6"/>
  <c r="C61" i="6"/>
  <c r="C62" i="6"/>
  <c r="C63" i="6"/>
  <c r="C64" i="6"/>
  <c r="C65" i="6"/>
  <c r="C66" i="6"/>
  <c r="C67" i="6"/>
  <c r="C68" i="6"/>
  <c r="C38" i="6"/>
  <c r="C39" i="6"/>
  <c r="C40" i="6"/>
  <c r="C41" i="6"/>
  <c r="C42" i="6"/>
  <c r="C43" i="6"/>
  <c r="C44" i="6"/>
  <c r="C45" i="6"/>
  <c r="C46" i="6"/>
  <c r="C47" i="6"/>
  <c r="C48" i="6"/>
  <c r="AL362" i="1" l="1"/>
  <c r="L333" i="1" l="1"/>
  <c r="M334" i="1"/>
  <c r="N334" i="1" s="1"/>
  <c r="M333" i="1" l="1"/>
  <c r="N333" i="1"/>
  <c r="D13" i="6"/>
  <c r="C13" i="6"/>
  <c r="D8" i="6" l="1"/>
  <c r="C8" i="6"/>
  <c r="D19" i="6"/>
  <c r="C19" i="6"/>
  <c r="R5" i="6" l="1"/>
  <c r="C18" i="6"/>
  <c r="D20" i="6"/>
  <c r="D18" i="6" l="1"/>
  <c r="D27" i="6" l="1"/>
  <c r="C27" i="6"/>
  <c r="AK362" i="1"/>
  <c r="D39" i="6" l="1"/>
  <c r="D38" i="6"/>
  <c r="D42" i="6"/>
  <c r="D43" i="6"/>
  <c r="D46" i="6"/>
  <c r="D40" i="6"/>
  <c r="D41" i="6"/>
  <c r="D44" i="6"/>
  <c r="D45" i="6"/>
  <c r="D47" i="6"/>
  <c r="D48" i="6"/>
  <c r="P4" i="6"/>
  <c r="Q4" i="6" s="1"/>
  <c r="S4" i="6" s="1"/>
  <c r="T4" i="6" s="1"/>
  <c r="C24" i="6"/>
  <c r="C25" i="6"/>
  <c r="C26" i="6"/>
  <c r="C28" i="6"/>
  <c r="C29" i="6"/>
  <c r="C30" i="6"/>
  <c r="C31" i="6"/>
  <c r="C32" i="6"/>
  <c r="C33" i="6"/>
  <c r="C34" i="6"/>
  <c r="D25" i="6"/>
  <c r="D26" i="6"/>
  <c r="D28" i="6"/>
  <c r="D29" i="6"/>
  <c r="D30" i="6"/>
  <c r="D31" i="6"/>
  <c r="D32" i="6"/>
  <c r="D33" i="6"/>
  <c r="D34" i="6"/>
  <c r="D24" i="6"/>
  <c r="AK219" i="1" l="1"/>
  <c r="AH152" i="1"/>
  <c r="B322" i="1" l="1"/>
  <c r="P339" i="1" l="1"/>
  <c r="AJ362" i="1" l="1"/>
  <c r="AI362" i="1" l="1"/>
  <c r="AG362" i="1" l="1"/>
  <c r="AH362" i="1"/>
  <c r="AF362" i="1" l="1"/>
  <c r="AE362" i="1" l="1"/>
  <c r="V79" i="1" l="1"/>
  <c r="BJ335" i="1" l="1"/>
  <c r="Q362" i="1"/>
  <c r="R362" i="1"/>
  <c r="S362" i="1"/>
  <c r="T362" i="1"/>
  <c r="U362" i="1"/>
  <c r="V362" i="1"/>
  <c r="W362" i="1"/>
  <c r="X362" i="1"/>
  <c r="Y362" i="1"/>
  <c r="Z362" i="1"/>
  <c r="AA362" i="1"/>
  <c r="AB362" i="1"/>
  <c r="AC362" i="1"/>
  <c r="AD362" i="1"/>
  <c r="P362" i="1"/>
  <c r="E34" i="4" l="1"/>
  <c r="C45" i="4"/>
  <c r="BL339" i="1" l="1"/>
  <c r="BL336" i="1"/>
  <c r="BL335" i="1" s="1"/>
  <c r="BL343" i="1" s="1"/>
  <c r="BI339" i="1"/>
  <c r="BJ339" i="1"/>
  <c r="BH339" i="1"/>
  <c r="BL341" i="1" l="1"/>
  <c r="BL340" i="1"/>
  <c r="C5" i="5"/>
  <c r="C4" i="5"/>
  <c r="B383" i="1"/>
  <c r="B379" i="1"/>
  <c r="B381" i="1"/>
  <c r="B377" i="1"/>
  <c r="B375" i="1"/>
  <c r="B373" i="1"/>
  <c r="B371" i="1"/>
  <c r="B369" i="1"/>
  <c r="B367"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Q334" i="1"/>
  <c r="P358" i="1"/>
  <c r="R334" i="1" l="1"/>
  <c r="Q360" i="1"/>
  <c r="S334" i="1" l="1"/>
  <c r="Q358" i="1"/>
  <c r="P360" i="1"/>
  <c r="P357" i="1"/>
  <c r="T334" i="1" l="1"/>
  <c r="R358" i="1"/>
  <c r="P345" i="1"/>
  <c r="P346" i="1" s="1"/>
  <c r="P347" i="1"/>
  <c r="P348" i="1" s="1"/>
  <c r="U334" i="1" l="1"/>
  <c r="S358" i="1"/>
  <c r="P343" i="1"/>
  <c r="P344" i="1" s="1"/>
  <c r="P341" i="1"/>
  <c r="P342" i="1" s="1"/>
  <c r="C12" i="5"/>
  <c r="C7" i="5"/>
  <c r="C8" i="5" s="1"/>
  <c r="C9" i="5" s="1"/>
  <c r="C21" i="5"/>
  <c r="C18" i="5"/>
  <c r="C15" i="5"/>
  <c r="C24" i="5"/>
  <c r="C3" i="5"/>
  <c r="V334" i="1" l="1"/>
  <c r="C30" i="5"/>
  <c r="P340" i="1"/>
  <c r="T358" i="1"/>
  <c r="P337" i="1"/>
  <c r="P338" i="1" s="1"/>
  <c r="C34" i="5"/>
  <c r="W334" i="1" l="1"/>
  <c r="U358" i="1"/>
  <c r="C13" i="5"/>
  <c r="C14" i="5" s="1"/>
  <c r="BK335" i="1"/>
  <c r="P353" i="1"/>
  <c r="P351" i="1"/>
  <c r="P354" i="1"/>
  <c r="P352" i="1"/>
  <c r="BL359" i="1" l="1"/>
  <c r="BK359" i="1"/>
  <c r="X334" i="1"/>
  <c r="BK392" i="1"/>
  <c r="BK393" i="1" s="1"/>
  <c r="BK390" i="1"/>
  <c r="BK396" i="1"/>
  <c r="BK397" i="1" s="1"/>
  <c r="BK400" i="1"/>
  <c r="BK394" i="1"/>
  <c r="BK395" i="1" s="1"/>
  <c r="BK398" i="1"/>
  <c r="BK399" i="1" s="1"/>
  <c r="V358" i="1"/>
  <c r="BK336" i="1"/>
  <c r="BL349" i="1"/>
  <c r="BL347" i="1"/>
  <c r="BL345" i="1"/>
  <c r="BK343" i="1"/>
  <c r="BK339" i="1"/>
  <c r="BK341" i="1" s="1"/>
  <c r="C22" i="5"/>
  <c r="C23" i="5" s="1"/>
  <c r="C35" i="5"/>
  <c r="C40" i="5" s="1"/>
  <c r="C25" i="5"/>
  <c r="C19" i="5"/>
  <c r="C20" i="5" s="1"/>
  <c r="C16" i="5"/>
  <c r="C17" i="5" s="1"/>
  <c r="C31" i="5"/>
  <c r="AP25" i="4"/>
  <c r="E31" i="4"/>
  <c r="B17" i="4" s="1"/>
  <c r="K20" i="4" l="1"/>
  <c r="B18" i="4"/>
  <c r="B19" i="4" s="1"/>
  <c r="Y334" i="1"/>
  <c r="BK391" i="1"/>
  <c r="BK403" i="1" s="1"/>
  <c r="BK402"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Z334" i="1"/>
  <c r="E18" i="4"/>
  <c r="K21" i="4" s="1"/>
  <c r="N20" i="4"/>
  <c r="H17" i="4"/>
  <c r="P390" i="1"/>
  <c r="P391" i="1" s="1"/>
  <c r="AA334" i="1" l="1"/>
  <c r="E19" i="4"/>
  <c r="Q20" i="4"/>
  <c r="H18" i="4"/>
  <c r="N22" i="4" s="1"/>
  <c r="K17" i="4"/>
  <c r="Y24" i="4"/>
  <c r="B14" i="3"/>
  <c r="AB334" i="1" l="1"/>
  <c r="H19" i="4"/>
  <c r="T20" i="4"/>
  <c r="K18" i="4"/>
  <c r="K19" i="4" s="1"/>
  <c r="N21" i="4"/>
  <c r="AB24" i="4" s="1"/>
  <c r="N17" i="4"/>
  <c r="AC334" i="1" l="1"/>
  <c r="Q17" i="4"/>
  <c r="T17" i="4" s="1"/>
  <c r="W20" i="4"/>
  <c r="N18" i="4"/>
  <c r="N19" i="4" s="1"/>
  <c r="Q21" i="4"/>
  <c r="AE24" i="4" s="1"/>
  <c r="Q22" i="4"/>
  <c r="AD334" i="1" l="1"/>
  <c r="T18" i="4"/>
  <c r="T19" i="4" s="1"/>
  <c r="AC20" i="4"/>
  <c r="Z20" i="4"/>
  <c r="Q18" i="4"/>
  <c r="Q19" i="4" s="1"/>
  <c r="T21" i="4"/>
  <c r="AH24" i="4" s="1"/>
  <c r="T22" i="4"/>
  <c r="T23" i="4"/>
  <c r="W17" i="4"/>
  <c r="W21" i="4" l="1"/>
  <c r="AK24" i="4" s="1"/>
  <c r="W23" i="4"/>
  <c r="AH334" i="1"/>
  <c r="W18" i="4"/>
  <c r="W19" i="4" s="1"/>
  <c r="AF20" i="4"/>
  <c r="W22" i="4"/>
  <c r="Z21" i="4"/>
  <c r="AN24" i="4" s="1"/>
  <c r="Z23" i="4"/>
  <c r="Z22" i="4"/>
  <c r="Z17" i="4"/>
  <c r="C400" i="1"/>
  <c r="C398" i="1"/>
  <c r="C396" i="1"/>
  <c r="C394" i="1"/>
  <c r="C392" i="1"/>
  <c r="C390" i="1"/>
  <c r="P349" i="1"/>
  <c r="C5" i="3"/>
  <c r="D369" i="1" s="1"/>
  <c r="AH360" i="1" l="1"/>
  <c r="AG334" i="1"/>
  <c r="AE334" i="1"/>
  <c r="AF334" i="1"/>
  <c r="AL334" i="1"/>
  <c r="Z18" i="4"/>
  <c r="Z19" i="4" s="1"/>
  <c r="AI20" i="4"/>
  <c r="BK369" i="1"/>
  <c r="BK370" i="1"/>
  <c r="AC21" i="4"/>
  <c r="AC22" i="4"/>
  <c r="AC23" i="4"/>
  <c r="AC17" i="4"/>
  <c r="BK349" i="1"/>
  <c r="C7" i="3"/>
  <c r="D373" i="1" s="1"/>
  <c r="C4" i="3"/>
  <c r="D367" i="1" s="1"/>
  <c r="C12" i="3"/>
  <c r="D383" i="1" s="1"/>
  <c r="C11" i="3"/>
  <c r="D381" i="1" s="1"/>
  <c r="C10" i="3"/>
  <c r="D379" i="1" s="1"/>
  <c r="C9" i="3"/>
  <c r="D377" i="1" s="1"/>
  <c r="C8" i="3"/>
  <c r="D375" i="1" s="1"/>
  <c r="C6" i="3"/>
  <c r="D371" i="1" s="1"/>
  <c r="C324" i="1"/>
  <c r="C10" i="5" s="1"/>
  <c r="C26" i="5" s="1"/>
  <c r="C27" i="5" s="1"/>
  <c r="C325" i="1"/>
  <c r="C11" i="5" s="1"/>
  <c r="C28" i="5" s="1"/>
  <c r="C29" i="5" s="1"/>
  <c r="P370" i="1"/>
  <c r="P400" i="1"/>
  <c r="P398" i="1"/>
  <c r="P396" i="1"/>
  <c r="P397" i="1" s="1"/>
  <c r="P394" i="1"/>
  <c r="P395" i="1" s="1"/>
  <c r="P392" i="1"/>
  <c r="P393" i="1" s="1"/>
  <c r="C369" i="1"/>
  <c r="C371" i="1"/>
  <c r="C373" i="1"/>
  <c r="C375" i="1"/>
  <c r="C377" i="1"/>
  <c r="C379" i="1"/>
  <c r="C381" i="1"/>
  <c r="C383" i="1"/>
  <c r="C367" i="1"/>
  <c r="P336" i="1"/>
  <c r="Q335" i="1"/>
  <c r="Q349" i="1" s="1"/>
  <c r="AJ334" i="1" l="1"/>
  <c r="AK334" i="1"/>
  <c r="AI334" i="1"/>
  <c r="AE357" i="1"/>
  <c r="AE358" i="1"/>
  <c r="AG358" i="1"/>
  <c r="AG357" i="1"/>
  <c r="AF358" i="1"/>
  <c r="AF357" i="1"/>
  <c r="AE360" i="1"/>
  <c r="AG360" i="1"/>
  <c r="AF360" i="1"/>
  <c r="AQ334" i="1"/>
  <c r="BK367" i="1"/>
  <c r="BK368" i="1"/>
  <c r="AL20" i="4"/>
  <c r="AC18" i="4"/>
  <c r="AC19" i="4" s="1"/>
  <c r="BK379" i="1"/>
  <c r="BK380" i="1"/>
  <c r="BK372" i="1"/>
  <c r="BK371" i="1"/>
  <c r="BK375" i="1"/>
  <c r="BK376" i="1"/>
  <c r="BK382" i="1"/>
  <c r="BK381" i="1"/>
  <c r="BK374" i="1"/>
  <c r="BK373" i="1"/>
  <c r="BK378" i="1"/>
  <c r="BK377" i="1"/>
  <c r="P384" i="1"/>
  <c r="BK384" i="1"/>
  <c r="BK383" i="1"/>
  <c r="Q347" i="1"/>
  <c r="Q348" i="1" s="1"/>
  <c r="Q343" i="1"/>
  <c r="Q344" i="1" s="1"/>
  <c r="Q351" i="1"/>
  <c r="Q354" i="1"/>
  <c r="Q357" i="1"/>
  <c r="Q352" i="1"/>
  <c r="Q353" i="1"/>
  <c r="Q339" i="1"/>
  <c r="AF22" i="4"/>
  <c r="AF23" i="4"/>
  <c r="AF21" i="4"/>
  <c r="AF17" i="4"/>
  <c r="P368" i="1"/>
  <c r="P367" i="1"/>
  <c r="P376" i="1"/>
  <c r="P375" i="1"/>
  <c r="P379" i="1"/>
  <c r="P378" i="1"/>
  <c r="P381" i="1"/>
  <c r="P371" i="1"/>
  <c r="R335" i="1"/>
  <c r="R349" i="1" s="1"/>
  <c r="Q394" i="1"/>
  <c r="Q395" i="1" s="1"/>
  <c r="P372" i="1"/>
  <c r="Q383" i="1"/>
  <c r="Q392" i="1"/>
  <c r="Q393" i="1" s="1"/>
  <c r="P380" i="1"/>
  <c r="Q381" i="1"/>
  <c r="Q400" i="1"/>
  <c r="P369" i="1"/>
  <c r="P377" i="1"/>
  <c r="Q398" i="1"/>
  <c r="Q399" i="1" s="1"/>
  <c r="Q396" i="1"/>
  <c r="Q397" i="1" s="1"/>
  <c r="Q379" i="1"/>
  <c r="Q372" i="1"/>
  <c r="Q376" i="1"/>
  <c r="Q380" i="1"/>
  <c r="Q384" i="1"/>
  <c r="P402" i="1"/>
  <c r="Q390" i="1"/>
  <c r="Q391" i="1" s="1"/>
  <c r="P373" i="1"/>
  <c r="Q369" i="1"/>
  <c r="P374" i="1"/>
  <c r="P382" i="1"/>
  <c r="Q373" i="1"/>
  <c r="Q370" i="1"/>
  <c r="Q377" i="1"/>
  <c r="P383" i="1"/>
  <c r="Q367" i="1"/>
  <c r="Q374" i="1"/>
  <c r="Q378" i="1"/>
  <c r="Q382" i="1"/>
  <c r="Q371" i="1"/>
  <c r="Q368" i="1"/>
  <c r="Q375" i="1"/>
  <c r="P399" i="1"/>
  <c r="P403" i="1" s="1"/>
  <c r="Q336" i="1"/>
  <c r="AK358" i="1" l="1"/>
  <c r="AK357" i="1"/>
  <c r="AJ357" i="1"/>
  <c r="AJ358" i="1"/>
  <c r="AI357" i="1"/>
  <c r="AI358" i="1"/>
  <c r="AM334" i="1"/>
  <c r="AO334" i="1"/>
  <c r="AP334" i="1"/>
  <c r="R343" i="1"/>
  <c r="R344" i="1" s="1"/>
  <c r="AV334" i="1"/>
  <c r="AO20" i="4"/>
  <c r="AF18" i="4"/>
  <c r="AF19" i="4" s="1"/>
  <c r="BK386" i="1"/>
  <c r="BK385" i="1"/>
  <c r="R392" i="1"/>
  <c r="R393" i="1" s="1"/>
  <c r="R373" i="1"/>
  <c r="R347" i="1"/>
  <c r="R348" i="1" s="1"/>
  <c r="R398" i="1"/>
  <c r="R399" i="1" s="1"/>
  <c r="R369" i="1"/>
  <c r="R368" i="1"/>
  <c r="R390" i="1"/>
  <c r="R391" i="1" s="1"/>
  <c r="R370" i="1"/>
  <c r="R336" i="1"/>
  <c r="Q340" i="1"/>
  <c r="Q341" i="1"/>
  <c r="Q342" i="1" s="1"/>
  <c r="R360" i="1"/>
  <c r="S335" i="1"/>
  <c r="S349" i="1" s="1"/>
  <c r="R339" i="1"/>
  <c r="R383" i="1"/>
  <c r="R382" i="1"/>
  <c r="R394" i="1"/>
  <c r="R395" i="1" s="1"/>
  <c r="R378" i="1"/>
  <c r="R377" i="1"/>
  <c r="R353" i="1"/>
  <c r="R351" i="1"/>
  <c r="R354" i="1"/>
  <c r="R357" i="1"/>
  <c r="R352" i="1"/>
  <c r="AI23" i="4"/>
  <c r="AI21" i="4"/>
  <c r="AI22" i="4"/>
  <c r="AI17" i="4"/>
  <c r="AI18" i="4" s="1"/>
  <c r="P386" i="1"/>
  <c r="Q386" i="1"/>
  <c r="R380" i="1"/>
  <c r="R379" i="1"/>
  <c r="R375" i="1"/>
  <c r="R372" i="1"/>
  <c r="R374" i="1"/>
  <c r="R367" i="1"/>
  <c r="R376" i="1"/>
  <c r="R381" i="1"/>
  <c r="R400" i="1"/>
  <c r="R371" i="1"/>
  <c r="R396" i="1"/>
  <c r="R397" i="1" s="1"/>
  <c r="R384" i="1"/>
  <c r="Q402" i="1"/>
  <c r="P385" i="1"/>
  <c r="Q385" i="1"/>
  <c r="Q403" i="1"/>
  <c r="AS334" i="1" l="1"/>
  <c r="AS358" i="1" s="1"/>
  <c r="AM357" i="1"/>
  <c r="AM358" i="1"/>
  <c r="AR334" i="1"/>
  <c r="BA334" i="1"/>
  <c r="AP358" i="1"/>
  <c r="AP357" i="1"/>
  <c r="AT334" i="1"/>
  <c r="AO358" i="1"/>
  <c r="AO357" i="1"/>
  <c r="AN358" i="1"/>
  <c r="AN357" i="1"/>
  <c r="AU334" i="1"/>
  <c r="S343" i="1"/>
  <c r="S344" i="1" s="1"/>
  <c r="S384" i="1"/>
  <c r="S374" i="1"/>
  <c r="S372" i="1"/>
  <c r="S370" i="1"/>
  <c r="S392" i="1"/>
  <c r="S393" i="1" s="1"/>
  <c r="S380" i="1"/>
  <c r="S379" i="1"/>
  <c r="S371" i="1"/>
  <c r="S382" i="1"/>
  <c r="S377" i="1"/>
  <c r="S400" i="1"/>
  <c r="S367" i="1"/>
  <c r="S347" i="1"/>
  <c r="S348" i="1" s="1"/>
  <c r="S378" i="1"/>
  <c r="S376" i="1"/>
  <c r="S369" i="1"/>
  <c r="S390" i="1"/>
  <c r="S391" i="1" s="1"/>
  <c r="S373" i="1"/>
  <c r="T335" i="1"/>
  <c r="T349" i="1" s="1"/>
  <c r="S383" i="1"/>
  <c r="S381" i="1"/>
  <c r="S394" i="1"/>
  <c r="S395" i="1" s="1"/>
  <c r="R403" i="1"/>
  <c r="S368" i="1"/>
  <c r="S396" i="1"/>
  <c r="S397" i="1" s="1"/>
  <c r="S398" i="1"/>
  <c r="S399" i="1" s="1"/>
  <c r="S336" i="1"/>
  <c r="S375" i="1"/>
  <c r="S360" i="1"/>
  <c r="R340" i="1"/>
  <c r="R341" i="1"/>
  <c r="R342" i="1" s="1"/>
  <c r="S352" i="1"/>
  <c r="S353" i="1"/>
  <c r="S354" i="1"/>
  <c r="S357" i="1"/>
  <c r="S351" i="1"/>
  <c r="R402" i="1"/>
  <c r="S339" i="1"/>
  <c r="AL22" i="4"/>
  <c r="AL21" i="4"/>
  <c r="AL23" i="4"/>
  <c r="AL17" i="4"/>
  <c r="AL18" i="4" s="1"/>
  <c r="AI19" i="4"/>
  <c r="R385" i="1"/>
  <c r="R386" i="1"/>
  <c r="BA358" i="1" l="1"/>
  <c r="AS357" i="1"/>
  <c r="AW334" i="1"/>
  <c r="AW358" i="1" s="1"/>
  <c r="BF334" i="1"/>
  <c r="BC334" i="1" s="1"/>
  <c r="AY334" i="1"/>
  <c r="AU358" i="1"/>
  <c r="AU357" i="1"/>
  <c r="AX334" i="1"/>
  <c r="AR357" i="1"/>
  <c r="AR358" i="1"/>
  <c r="AZ334" i="1"/>
  <c r="AT357" i="1"/>
  <c r="AT358" i="1"/>
  <c r="T379" i="1"/>
  <c r="T383" i="1"/>
  <c r="T380" i="1"/>
  <c r="T392" i="1"/>
  <c r="T393" i="1" s="1"/>
  <c r="T377" i="1"/>
  <c r="T378" i="1"/>
  <c r="T369" i="1"/>
  <c r="T375" i="1"/>
  <c r="T390" i="1"/>
  <c r="T391" i="1" s="1"/>
  <c r="S386" i="1"/>
  <c r="T376" i="1"/>
  <c r="T368" i="1"/>
  <c r="T398" i="1"/>
  <c r="T399" i="1" s="1"/>
  <c r="T382" i="1"/>
  <c r="T374" i="1"/>
  <c r="T381" i="1"/>
  <c r="T396" i="1"/>
  <c r="T397" i="1" s="1"/>
  <c r="S403" i="1"/>
  <c r="T343" i="1"/>
  <c r="T336" i="1"/>
  <c r="T370" i="1"/>
  <c r="T371" i="1"/>
  <c r="T394" i="1"/>
  <c r="T395" i="1" s="1"/>
  <c r="T339" i="1"/>
  <c r="T341" i="1" s="1"/>
  <c r="T373" i="1"/>
  <c r="U335" i="1"/>
  <c r="T384" i="1"/>
  <c r="S385" i="1"/>
  <c r="T372" i="1"/>
  <c r="T400" i="1"/>
  <c r="S402" i="1"/>
  <c r="T367" i="1"/>
  <c r="T360" i="1"/>
  <c r="S340" i="1"/>
  <c r="S341" i="1"/>
  <c r="S342" i="1" s="1"/>
  <c r="T352" i="1"/>
  <c r="T357" i="1"/>
  <c r="T353" i="1"/>
  <c r="T354" i="1"/>
  <c r="T351" i="1"/>
  <c r="AO21" i="4"/>
  <c r="AO22" i="4"/>
  <c r="AO23" i="4"/>
  <c r="AO17" i="4"/>
  <c r="AO18" i="4" s="1"/>
  <c r="AO19" i="4" s="1"/>
  <c r="AL19" i="4"/>
  <c r="BC357" i="1" l="1"/>
  <c r="BC358" i="1"/>
  <c r="BF357" i="1"/>
  <c r="BF358" i="1"/>
  <c r="BE334" i="1"/>
  <c r="BD334" i="1"/>
  <c r="BB334" i="1"/>
  <c r="AW357" i="1"/>
  <c r="U367" i="1"/>
  <c r="U349" i="1"/>
  <c r="AX357" i="1"/>
  <c r="AX358" i="1"/>
  <c r="AY358" i="1"/>
  <c r="AY357" i="1"/>
  <c r="U377" i="1"/>
  <c r="AZ358" i="1"/>
  <c r="AZ357" i="1"/>
  <c r="U380" i="1"/>
  <c r="BG334" i="1"/>
  <c r="U370" i="1"/>
  <c r="T385" i="1"/>
  <c r="T403" i="1"/>
  <c r="U383" i="1"/>
  <c r="V335" i="1"/>
  <c r="U372" i="1"/>
  <c r="U398" i="1"/>
  <c r="U399" i="1" s="1"/>
  <c r="U378" i="1"/>
  <c r="U379" i="1"/>
  <c r="T402" i="1"/>
  <c r="U375" i="1"/>
  <c r="T386" i="1"/>
  <c r="U336" i="1"/>
  <c r="U373" i="1"/>
  <c r="U396" i="1"/>
  <c r="U397" i="1" s="1"/>
  <c r="U343" i="1"/>
  <c r="U392" i="1"/>
  <c r="U393" i="1" s="1"/>
  <c r="U374" i="1"/>
  <c r="U339" i="1"/>
  <c r="U340" i="1" s="1"/>
  <c r="U382" i="1"/>
  <c r="U381" i="1"/>
  <c r="U376" i="1"/>
  <c r="U394" i="1"/>
  <c r="U395" i="1" s="1"/>
  <c r="U369" i="1"/>
  <c r="U390" i="1"/>
  <c r="U391" i="1" s="1"/>
  <c r="U400" i="1"/>
  <c r="U371" i="1"/>
  <c r="T340" i="1"/>
  <c r="U368" i="1"/>
  <c r="U384" i="1"/>
  <c r="U360" i="1"/>
  <c r="U352" i="1"/>
  <c r="U353" i="1"/>
  <c r="U351" i="1"/>
  <c r="U354" i="1"/>
  <c r="U357" i="1"/>
  <c r="BE358" i="1" l="1"/>
  <c r="BE357" i="1"/>
  <c r="BB358" i="1"/>
  <c r="BB357" i="1"/>
  <c r="BD358" i="1"/>
  <c r="BD357" i="1"/>
  <c r="V339" i="1"/>
  <c r="V341" i="1" s="1"/>
  <c r="V349" i="1"/>
  <c r="V381" i="1"/>
  <c r="V343" i="1"/>
  <c r="BH334" i="1"/>
  <c r="BG358" i="1"/>
  <c r="BG357" i="1"/>
  <c r="V378" i="1"/>
  <c r="V390" i="1"/>
  <c r="V400" i="1"/>
  <c r="V375" i="1"/>
  <c r="V376" i="1"/>
  <c r="V368" i="1"/>
  <c r="V382" i="1"/>
  <c r="V369" i="1"/>
  <c r="V367" i="1"/>
  <c r="V372" i="1"/>
  <c r="V379" i="1"/>
  <c r="V380" i="1"/>
  <c r="V336" i="1"/>
  <c r="V392" i="1"/>
  <c r="V393" i="1" s="1"/>
  <c r="V377" i="1"/>
  <c r="V370" i="1"/>
  <c r="V396" i="1"/>
  <c r="V397" i="1" s="1"/>
  <c r="V394" i="1"/>
  <c r="V395" i="1" s="1"/>
  <c r="V374" i="1"/>
  <c r="V373" i="1"/>
  <c r="W335" i="1"/>
  <c r="W349" i="1" s="1"/>
  <c r="V384" i="1"/>
  <c r="V383" i="1"/>
  <c r="V398" i="1"/>
  <c r="V399" i="1" s="1"/>
  <c r="V371" i="1"/>
  <c r="U403" i="1"/>
  <c r="U386" i="1"/>
  <c r="U402" i="1"/>
  <c r="U385" i="1"/>
  <c r="U341" i="1"/>
  <c r="V360" i="1"/>
  <c r="V340" i="1"/>
  <c r="V352" i="1"/>
  <c r="V353" i="1"/>
  <c r="V354" i="1"/>
  <c r="V351" i="1"/>
  <c r="V357" i="1"/>
  <c r="V391" i="1"/>
  <c r="W377" i="1" l="1"/>
  <c r="BI334" i="1"/>
  <c r="BH357" i="1"/>
  <c r="BH358" i="1"/>
  <c r="W380" i="1"/>
  <c r="W392" i="1"/>
  <c r="W393" i="1" s="1"/>
  <c r="W367" i="1"/>
  <c r="W390" i="1"/>
  <c r="W391" i="1" s="1"/>
  <c r="W378" i="1"/>
  <c r="W383" i="1"/>
  <c r="W400" i="1"/>
  <c r="W372" i="1"/>
  <c r="X335" i="1"/>
  <c r="X349" i="1" s="1"/>
  <c r="W379" i="1"/>
  <c r="W384" i="1"/>
  <c r="W368" i="1"/>
  <c r="V385" i="1"/>
  <c r="W374" i="1"/>
  <c r="V386" i="1"/>
  <c r="V402" i="1"/>
  <c r="W370" i="1"/>
  <c r="W381" i="1"/>
  <c r="W376" i="1"/>
  <c r="W375" i="1"/>
  <c r="W394" i="1"/>
  <c r="W395" i="1" s="1"/>
  <c r="V403" i="1"/>
  <c r="W339" i="1"/>
  <c r="W340" i="1" s="1"/>
  <c r="W396" i="1"/>
  <c r="W397" i="1" s="1"/>
  <c r="W343" i="1"/>
  <c r="W336" i="1"/>
  <c r="W369" i="1"/>
  <c r="W371" i="1"/>
  <c r="W382" i="1"/>
  <c r="W398" i="1"/>
  <c r="W399" i="1" s="1"/>
  <c r="W373" i="1"/>
  <c r="X360" i="1"/>
  <c r="W360" i="1"/>
  <c r="W358" i="1"/>
  <c r="W357" i="1"/>
  <c r="W352" i="1"/>
  <c r="W354" i="1"/>
  <c r="W353" i="1"/>
  <c r="W351" i="1"/>
  <c r="X343" i="1" l="1"/>
  <c r="BJ334" i="1"/>
  <c r="BI357" i="1"/>
  <c r="BI358" i="1"/>
  <c r="X380" i="1"/>
  <c r="X383" i="1"/>
  <c r="X384" i="1"/>
  <c r="X336" i="1"/>
  <c r="X398" i="1"/>
  <c r="X399" i="1" s="1"/>
  <c r="X396" i="1"/>
  <c r="X397" i="1" s="1"/>
  <c r="X394" i="1"/>
  <c r="X395" i="1" s="1"/>
  <c r="X375" i="1"/>
  <c r="X392" i="1"/>
  <c r="X393" i="1" s="1"/>
  <c r="X378" i="1"/>
  <c r="X370" i="1"/>
  <c r="X368" i="1"/>
  <c r="X367" i="1"/>
  <c r="X376" i="1"/>
  <c r="X382" i="1"/>
  <c r="X369" i="1"/>
  <c r="X377" i="1"/>
  <c r="X381" i="1"/>
  <c r="X390" i="1"/>
  <c r="X391" i="1" s="1"/>
  <c r="X374" i="1"/>
  <c r="X379" i="1"/>
  <c r="X373" i="1"/>
  <c r="X372" i="1"/>
  <c r="Y335" i="1"/>
  <c r="X371" i="1"/>
  <c r="X400" i="1"/>
  <c r="X339" i="1"/>
  <c r="X340" i="1" s="1"/>
  <c r="W386" i="1"/>
  <c r="W341" i="1"/>
  <c r="W385" i="1"/>
  <c r="W402" i="1"/>
  <c r="W403" i="1"/>
  <c r="X357" i="1"/>
  <c r="X358" i="1"/>
  <c r="X352" i="1"/>
  <c r="X354" i="1"/>
  <c r="X351" i="1"/>
  <c r="X353" i="1"/>
  <c r="Y400" i="1"/>
  <c r="Y396" i="1"/>
  <c r="Y397" i="1" s="1"/>
  <c r="Y373" i="1" l="1"/>
  <c r="Y349" i="1"/>
  <c r="Y339" i="1"/>
  <c r="Y341" i="1" s="1"/>
  <c r="Y336" i="1"/>
  <c r="BK334" i="1"/>
  <c r="BJ357" i="1"/>
  <c r="BJ358" i="1"/>
  <c r="X403" i="1"/>
  <c r="X402" i="1"/>
  <c r="X386" i="1"/>
  <c r="X385" i="1"/>
  <c r="Y370" i="1"/>
  <c r="Y372" i="1"/>
  <c r="Y380" i="1"/>
  <c r="Y367" i="1"/>
  <c r="Z335" i="1"/>
  <c r="Z349" i="1" s="1"/>
  <c r="Y381" i="1"/>
  <c r="Y394" i="1"/>
  <c r="Y395" i="1" s="1"/>
  <c r="Y390" i="1"/>
  <c r="Y391" i="1" s="1"/>
  <c r="Y383" i="1"/>
  <c r="Y392" i="1"/>
  <c r="Y393" i="1" s="1"/>
  <c r="Y378" i="1"/>
  <c r="Y374" i="1"/>
  <c r="Y379" i="1"/>
  <c r="Y369" i="1"/>
  <c r="Y343" i="1"/>
  <c r="Y377" i="1"/>
  <c r="Y375" i="1"/>
  <c r="Y368" i="1"/>
  <c r="Y384" i="1"/>
  <c r="Y376" i="1"/>
  <c r="Y398" i="1"/>
  <c r="Y399" i="1" s="1"/>
  <c r="Y382" i="1"/>
  <c r="Y371" i="1"/>
  <c r="X341" i="1"/>
  <c r="Y340" i="1"/>
  <c r="Y360" i="1"/>
  <c r="Y358" i="1"/>
  <c r="Y357" i="1"/>
  <c r="Y353" i="1"/>
  <c r="Y354" i="1"/>
  <c r="Y351" i="1"/>
  <c r="Y352" i="1"/>
  <c r="Z343" i="1" l="1"/>
  <c r="Z372" i="1"/>
  <c r="Z377" i="1"/>
  <c r="Z375" i="1"/>
  <c r="Z392" i="1"/>
  <c r="Z393" i="1" s="1"/>
  <c r="Z379" i="1"/>
  <c r="Y385" i="1"/>
  <c r="Z383" i="1"/>
  <c r="Z390" i="1"/>
  <c r="Z391" i="1" s="1"/>
  <c r="Z369" i="1"/>
  <c r="Z376" i="1"/>
  <c r="Z394" i="1"/>
  <c r="Z395" i="1" s="1"/>
  <c r="Z381" i="1"/>
  <c r="Z378" i="1"/>
  <c r="Z384" i="1"/>
  <c r="Z370" i="1"/>
  <c r="Z374" i="1"/>
  <c r="Z396" i="1"/>
  <c r="Z397" i="1" s="1"/>
  <c r="Z382" i="1"/>
  <c r="AA335" i="1"/>
  <c r="Z367" i="1"/>
  <c r="Z339" i="1"/>
  <c r="Z341" i="1" s="1"/>
  <c r="Y386" i="1"/>
  <c r="Z380" i="1"/>
  <c r="Z373" i="1"/>
  <c r="Z398" i="1"/>
  <c r="Z399" i="1" s="1"/>
  <c r="Z368" i="1"/>
  <c r="Z371" i="1"/>
  <c r="Z400" i="1"/>
  <c r="Z336" i="1"/>
  <c r="Y402" i="1"/>
  <c r="Y403" i="1"/>
  <c r="Z360" i="1"/>
  <c r="Z358" i="1"/>
  <c r="Z357" i="1"/>
  <c r="Z354" i="1"/>
  <c r="Z351" i="1"/>
  <c r="Z353" i="1"/>
  <c r="Z352" i="1"/>
  <c r="AA381" i="1" l="1"/>
  <c r="AA349" i="1"/>
  <c r="AA394" i="1"/>
  <c r="AA395" i="1" s="1"/>
  <c r="AA379" i="1"/>
  <c r="AA336" i="1"/>
  <c r="AA372" i="1"/>
  <c r="AA398" i="1"/>
  <c r="AA399" i="1" s="1"/>
  <c r="Z340" i="1"/>
  <c r="AA400" i="1"/>
  <c r="AA384" i="1"/>
  <c r="AA374" i="1"/>
  <c r="AA375" i="1"/>
  <c r="AA373" i="1"/>
  <c r="AA370" i="1"/>
  <c r="AA383" i="1"/>
  <c r="AA367" i="1"/>
  <c r="Z402" i="1"/>
  <c r="Z385" i="1"/>
  <c r="AA377" i="1"/>
  <c r="AA382" i="1"/>
  <c r="AA380" i="1"/>
  <c r="AA343" i="1"/>
  <c r="AA371" i="1"/>
  <c r="AA369" i="1"/>
  <c r="AB335" i="1"/>
  <c r="AA368" i="1"/>
  <c r="AA339" i="1"/>
  <c r="AA341" i="1" s="1"/>
  <c r="AA378" i="1"/>
  <c r="AA396" i="1"/>
  <c r="AA397" i="1" s="1"/>
  <c r="AA376" i="1"/>
  <c r="Z386" i="1"/>
  <c r="Z403" i="1"/>
  <c r="AA392" i="1"/>
  <c r="AA393" i="1" s="1"/>
  <c r="AA390" i="1"/>
  <c r="AA391" i="1" s="1"/>
  <c r="AA358" i="1"/>
  <c r="AA360" i="1"/>
  <c r="AA351" i="1"/>
  <c r="AA353" i="1"/>
  <c r="AA357" i="1"/>
  <c r="AA352" i="1"/>
  <c r="AA354" i="1"/>
  <c r="AB400" i="1" l="1"/>
  <c r="AB349" i="1"/>
  <c r="AB375" i="1"/>
  <c r="AB392" i="1"/>
  <c r="AB393" i="1" s="1"/>
  <c r="AB381" i="1"/>
  <c r="AB374" i="1"/>
  <c r="AB371" i="1"/>
  <c r="AB343" i="1"/>
  <c r="AB377" i="1"/>
  <c r="AB394" i="1"/>
  <c r="AB395" i="1" s="1"/>
  <c r="AB379" i="1"/>
  <c r="AB378" i="1"/>
  <c r="AB382" i="1"/>
  <c r="AB369" i="1"/>
  <c r="AB339" i="1"/>
  <c r="AB340" i="1" s="1"/>
  <c r="AB396" i="1"/>
  <c r="AB397" i="1" s="1"/>
  <c r="AB336" i="1"/>
  <c r="AA386" i="1"/>
  <c r="AA385" i="1"/>
  <c r="AB367" i="1"/>
  <c r="AB368" i="1"/>
  <c r="AB376" i="1"/>
  <c r="AB372" i="1"/>
  <c r="AB370" i="1"/>
  <c r="AB373" i="1"/>
  <c r="AA340" i="1"/>
  <c r="AB383" i="1"/>
  <c r="AC335" i="1"/>
  <c r="AC349" i="1" s="1"/>
  <c r="AB398" i="1"/>
  <c r="AB399" i="1" s="1"/>
  <c r="AA402" i="1"/>
  <c r="AB390" i="1"/>
  <c r="AB391" i="1" s="1"/>
  <c r="AB380" i="1"/>
  <c r="AB384" i="1"/>
  <c r="AA403" i="1"/>
  <c r="AB358" i="1"/>
  <c r="AB360" i="1"/>
  <c r="AB351" i="1"/>
  <c r="AB353" i="1"/>
  <c r="AB354" i="1"/>
  <c r="AB357" i="1"/>
  <c r="AB352" i="1"/>
  <c r="AC343" i="1" l="1"/>
  <c r="AB341" i="1"/>
  <c r="AB386" i="1"/>
  <c r="AB385" i="1"/>
  <c r="AC368" i="1"/>
  <c r="AC369" i="1"/>
  <c r="AC381" i="1"/>
  <c r="AC384" i="1"/>
  <c r="AC367" i="1"/>
  <c r="AC378" i="1"/>
  <c r="AC400" i="1"/>
  <c r="AC376" i="1"/>
  <c r="AC373" i="1"/>
  <c r="AC371" i="1"/>
  <c r="AC392" i="1"/>
  <c r="AC393" i="1" s="1"/>
  <c r="AC374" i="1"/>
  <c r="AC370" i="1"/>
  <c r="AC380" i="1"/>
  <c r="AC377" i="1"/>
  <c r="AC372" i="1"/>
  <c r="AC336" i="1"/>
  <c r="AD335" i="1"/>
  <c r="AD349" i="1" s="1"/>
  <c r="AC339" i="1"/>
  <c r="AC340" i="1" s="1"/>
  <c r="AC394" i="1"/>
  <c r="AC395" i="1" s="1"/>
  <c r="AC379" i="1"/>
  <c r="AC383" i="1"/>
  <c r="AB403" i="1"/>
  <c r="AB402" i="1"/>
  <c r="AC390" i="1"/>
  <c r="AC391" i="1" s="1"/>
  <c r="AC375" i="1"/>
  <c r="AC382" i="1"/>
  <c r="AC398" i="1"/>
  <c r="AC399" i="1" s="1"/>
  <c r="AC396" i="1"/>
  <c r="AC397" i="1" s="1"/>
  <c r="AC358" i="1"/>
  <c r="AC360" i="1"/>
  <c r="AC354" i="1"/>
  <c r="AC353" i="1"/>
  <c r="AC351" i="1"/>
  <c r="AC357" i="1"/>
  <c r="AC352" i="1"/>
  <c r="AD343" i="1" l="1"/>
  <c r="AD374" i="1"/>
  <c r="AD373" i="1"/>
  <c r="AD375" i="1"/>
  <c r="AD379" i="1"/>
  <c r="AH335" i="1"/>
  <c r="AD370" i="1"/>
  <c r="AD372" i="1"/>
  <c r="AD398" i="1"/>
  <c r="AD399" i="1" s="1"/>
  <c r="AD378" i="1"/>
  <c r="AD336" i="1"/>
  <c r="AD376" i="1"/>
  <c r="AD392" i="1"/>
  <c r="AD393" i="1" s="1"/>
  <c r="AD339" i="1"/>
  <c r="AD340" i="1" s="1"/>
  <c r="AD368" i="1"/>
  <c r="AD400" i="1"/>
  <c r="AD394" i="1"/>
  <c r="AD395" i="1" s="1"/>
  <c r="AD396" i="1"/>
  <c r="AD397" i="1" s="1"/>
  <c r="AD380" i="1"/>
  <c r="AC386" i="1"/>
  <c r="AD382" i="1"/>
  <c r="AD381" i="1"/>
  <c r="AD383" i="1"/>
  <c r="AD377" i="1"/>
  <c r="AD367" i="1"/>
  <c r="AD384" i="1"/>
  <c r="AC385" i="1"/>
  <c r="AC341" i="1"/>
  <c r="AC403" i="1"/>
  <c r="AC402" i="1"/>
  <c r="AD369" i="1"/>
  <c r="AD371" i="1"/>
  <c r="AD390" i="1"/>
  <c r="AD391" i="1" s="1"/>
  <c r="AD358" i="1"/>
  <c r="AD360" i="1"/>
  <c r="AD354" i="1"/>
  <c r="AD351" i="1"/>
  <c r="AD353" i="1"/>
  <c r="AD357" i="1"/>
  <c r="AD352" i="1"/>
  <c r="AH379" i="1" l="1"/>
  <c r="AH349" i="1"/>
  <c r="AH376" i="1"/>
  <c r="AH374" i="1"/>
  <c r="AH369" i="1"/>
  <c r="AE335" i="1"/>
  <c r="AE349" i="1" s="1"/>
  <c r="AG335" i="1"/>
  <c r="AG349" i="1" s="1"/>
  <c r="AF335" i="1"/>
  <c r="AF349" i="1" s="1"/>
  <c r="AH396" i="1"/>
  <c r="AH397" i="1" s="1"/>
  <c r="AH370" i="1"/>
  <c r="AH398" i="1"/>
  <c r="AH399" i="1" s="1"/>
  <c r="AH367" i="1"/>
  <c r="AH377" i="1"/>
  <c r="AH382" i="1"/>
  <c r="AH392" i="1"/>
  <c r="AH393" i="1" s="1"/>
  <c r="AH381" i="1"/>
  <c r="AH384" i="1"/>
  <c r="AH371" i="1"/>
  <c r="AH383" i="1"/>
  <c r="AH336" i="1"/>
  <c r="AH343" i="1"/>
  <c r="AH368" i="1"/>
  <c r="AH380" i="1"/>
  <c r="AH372" i="1"/>
  <c r="AH339" i="1"/>
  <c r="AH340" i="1" s="1"/>
  <c r="AH378" i="1"/>
  <c r="AH394" i="1"/>
  <c r="AH395" i="1" s="1"/>
  <c r="AH400" i="1"/>
  <c r="AH373" i="1"/>
  <c r="AL335" i="1"/>
  <c r="AH375" i="1"/>
  <c r="AH390" i="1"/>
  <c r="AH391" i="1" s="1"/>
  <c r="AD403" i="1"/>
  <c r="AD386" i="1"/>
  <c r="AD341" i="1"/>
  <c r="AD385" i="1"/>
  <c r="AD402" i="1"/>
  <c r="AH358" i="1"/>
  <c r="AH351" i="1"/>
  <c r="AH353" i="1"/>
  <c r="AH357" i="1"/>
  <c r="AH352" i="1"/>
  <c r="AH354" i="1"/>
  <c r="AI335" i="1" l="1"/>
  <c r="AI349" i="1" s="1"/>
  <c r="AL349" i="1"/>
  <c r="AJ335" i="1"/>
  <c r="AJ349" i="1" s="1"/>
  <c r="AK335" i="1"/>
  <c r="AK349" i="1" s="1"/>
  <c r="AL380" i="1"/>
  <c r="AL370" i="1"/>
  <c r="AL382" i="1"/>
  <c r="AQ335" i="1"/>
  <c r="AQ359" i="1" s="1"/>
  <c r="AQ360" i="1" s="1"/>
  <c r="AL381" i="1"/>
  <c r="AH341" i="1"/>
  <c r="AL384" i="1"/>
  <c r="AL396" i="1"/>
  <c r="AL397" i="1" s="1"/>
  <c r="AL371" i="1"/>
  <c r="AL367" i="1"/>
  <c r="AL392" i="1"/>
  <c r="AL393" i="1" s="1"/>
  <c r="AL375" i="1"/>
  <c r="AL377" i="1"/>
  <c r="AL336" i="1"/>
  <c r="AL398" i="1"/>
  <c r="AL399" i="1" s="1"/>
  <c r="AL394" i="1"/>
  <c r="AL395" i="1" s="1"/>
  <c r="AL400" i="1"/>
  <c r="AL383" i="1"/>
  <c r="AL368" i="1"/>
  <c r="AL369" i="1"/>
  <c r="AL376" i="1"/>
  <c r="AL343" i="1"/>
  <c r="AL390" i="1"/>
  <c r="AL391" i="1" s="1"/>
  <c r="AL373" i="1"/>
  <c r="AH385" i="1"/>
  <c r="AH386" i="1"/>
  <c r="AL379" i="1"/>
  <c r="AH402" i="1"/>
  <c r="AL339" i="1"/>
  <c r="AL340" i="1" s="1"/>
  <c r="AL372" i="1"/>
  <c r="AL374" i="1"/>
  <c r="AL378" i="1"/>
  <c r="AH403" i="1"/>
  <c r="AF392" i="1"/>
  <c r="AF393" i="1" s="1"/>
  <c r="AF398" i="1"/>
  <c r="AF399" i="1" s="1"/>
  <c r="AF394" i="1"/>
  <c r="AF395" i="1" s="1"/>
  <c r="AF336" i="1"/>
  <c r="AF339" i="1"/>
  <c r="AF390" i="1"/>
  <c r="AF343" i="1"/>
  <c r="AF400" i="1"/>
  <c r="AF396" i="1"/>
  <c r="AF397" i="1" s="1"/>
  <c r="AF370" i="1"/>
  <c r="AF369" i="1"/>
  <c r="AF378" i="1"/>
  <c r="AF371" i="1"/>
  <c r="AF375" i="1"/>
  <c r="AF377" i="1"/>
  <c r="AF381" i="1"/>
  <c r="AF372" i="1"/>
  <c r="AF376" i="1"/>
  <c r="AF382" i="1"/>
  <c r="AF383" i="1"/>
  <c r="AF379" i="1"/>
  <c r="AF367" i="1"/>
  <c r="AF373" i="1"/>
  <c r="AF384" i="1"/>
  <c r="AF380" i="1"/>
  <c r="AF374" i="1"/>
  <c r="AF368" i="1"/>
  <c r="AG392" i="1"/>
  <c r="AG393" i="1" s="1"/>
  <c r="AG398" i="1"/>
  <c r="AG399" i="1" s="1"/>
  <c r="AG339" i="1"/>
  <c r="AG394" i="1"/>
  <c r="AG395" i="1" s="1"/>
  <c r="AG396" i="1"/>
  <c r="AG397" i="1" s="1"/>
  <c r="AG390" i="1"/>
  <c r="AG343" i="1"/>
  <c r="AG400" i="1"/>
  <c r="AG336" i="1"/>
  <c r="AG369" i="1"/>
  <c r="AG370" i="1"/>
  <c r="AG381" i="1"/>
  <c r="AG382" i="1"/>
  <c r="AG371" i="1"/>
  <c r="AG375" i="1"/>
  <c r="AG367" i="1"/>
  <c r="AG378" i="1"/>
  <c r="AG377" i="1"/>
  <c r="AG372" i="1"/>
  <c r="AG376" i="1"/>
  <c r="AG374" i="1"/>
  <c r="AG383" i="1"/>
  <c r="AG379" i="1"/>
  <c r="AG373" i="1"/>
  <c r="AG384" i="1"/>
  <c r="AG380" i="1"/>
  <c r="AG368" i="1"/>
  <c r="AE336" i="1"/>
  <c r="AE343" i="1"/>
  <c r="AE390" i="1"/>
  <c r="AE339" i="1"/>
  <c r="AE400" i="1"/>
  <c r="AE396" i="1"/>
  <c r="AE397" i="1" s="1"/>
  <c r="AE392" i="1"/>
  <c r="AE393" i="1" s="1"/>
  <c r="AE398" i="1"/>
  <c r="AE399" i="1" s="1"/>
  <c r="AE394" i="1"/>
  <c r="AE395" i="1" s="1"/>
  <c r="AE369" i="1"/>
  <c r="AE370" i="1"/>
  <c r="AE371" i="1"/>
  <c r="AE375" i="1"/>
  <c r="AE377" i="1"/>
  <c r="AE381" i="1"/>
  <c r="AE372" i="1"/>
  <c r="AE376" i="1"/>
  <c r="AE382" i="1"/>
  <c r="AE378" i="1"/>
  <c r="AE379" i="1"/>
  <c r="AE367" i="1"/>
  <c r="AE373" i="1"/>
  <c r="AE384" i="1"/>
  <c r="AE380" i="1"/>
  <c r="AE368" i="1"/>
  <c r="AE383" i="1"/>
  <c r="AE374" i="1"/>
  <c r="AL360" i="1"/>
  <c r="AL358" i="1"/>
  <c r="AL357" i="1"/>
  <c r="AL352" i="1"/>
  <c r="AL351" i="1"/>
  <c r="AL353" i="1"/>
  <c r="AL354" i="1"/>
  <c r="AQ371" i="1" l="1"/>
  <c r="W342" i="1"/>
  <c r="AB350" i="1"/>
  <c r="AC350" i="1"/>
  <c r="AD350" i="1"/>
  <c r="AH350" i="1"/>
  <c r="AL350" i="1"/>
  <c r="AF350" i="1"/>
  <c r="AE350" i="1"/>
  <c r="AG350" i="1"/>
  <c r="AI350" i="1"/>
  <c r="AK350" i="1"/>
  <c r="AJ350" i="1"/>
  <c r="Z344" i="1"/>
  <c r="W347" i="1"/>
  <c r="W348" i="1" s="1"/>
  <c r="V342" i="1"/>
  <c r="U342" i="1"/>
  <c r="AB342" i="1"/>
  <c r="AE344" i="1"/>
  <c r="V345" i="1"/>
  <c r="V346" i="1" s="1"/>
  <c r="T345" i="1"/>
  <c r="T346" i="1" s="1"/>
  <c r="AE347" i="1"/>
  <c r="AE348" i="1" s="1"/>
  <c r="V347" i="1"/>
  <c r="V348" i="1" s="1"/>
  <c r="Y345" i="1"/>
  <c r="Y346" i="1" s="1"/>
  <c r="AA342" i="1"/>
  <c r="Y344" i="1"/>
  <c r="Q345" i="1"/>
  <c r="Q346" i="1" s="1"/>
  <c r="Q337" i="1" s="1"/>
  <c r="Q338" i="1" s="1"/>
  <c r="AC342" i="1"/>
  <c r="V344" i="1"/>
  <c r="U344" i="1"/>
  <c r="T342" i="1"/>
  <c r="U345" i="1"/>
  <c r="U346" i="1" s="1"/>
  <c r="X347" i="1"/>
  <c r="X348" i="1" s="1"/>
  <c r="U347" i="1"/>
  <c r="U348" i="1" s="1"/>
  <c r="T344" i="1"/>
  <c r="S345" i="1"/>
  <c r="S346" i="1" s="1"/>
  <c r="S337" i="1" s="1"/>
  <c r="S338" i="1" s="1"/>
  <c r="Z342" i="1"/>
  <c r="Y347" i="1"/>
  <c r="Y348" i="1" s="1"/>
  <c r="R345" i="1"/>
  <c r="R346" i="1" s="1"/>
  <c r="R337" i="1" s="1"/>
  <c r="R338" i="1" s="1"/>
  <c r="W345" i="1"/>
  <c r="W346" i="1" s="1"/>
  <c r="Z345" i="1"/>
  <c r="Z346" i="1" s="1"/>
  <c r="X344" i="1"/>
  <c r="T347" i="1"/>
  <c r="T348" i="1" s="1"/>
  <c r="W344" i="1"/>
  <c r="Y342" i="1"/>
  <c r="X342" i="1"/>
  <c r="Z347" i="1"/>
  <c r="Z348" i="1" s="1"/>
  <c r="X345" i="1"/>
  <c r="X346" i="1" s="1"/>
  <c r="AQ343" i="1"/>
  <c r="AQ396" i="1"/>
  <c r="AQ397" i="1" s="1"/>
  <c r="AN335" i="1"/>
  <c r="AQ390" i="1"/>
  <c r="AQ391" i="1" s="1"/>
  <c r="AM335" i="1"/>
  <c r="AO335" i="1"/>
  <c r="AO359" i="1" s="1"/>
  <c r="AO360" i="1" s="1"/>
  <c r="AP335" i="1"/>
  <c r="AP359" i="1" s="1"/>
  <c r="AP360" i="1" s="1"/>
  <c r="AQ339" i="1"/>
  <c r="AQ341" i="1" s="1"/>
  <c r="AV335" i="1"/>
  <c r="AQ374" i="1"/>
  <c r="AQ349" i="1"/>
  <c r="AQ383" i="1"/>
  <c r="AQ380" i="1"/>
  <c r="AQ373" i="1"/>
  <c r="AQ375" i="1"/>
  <c r="AQ384" i="1"/>
  <c r="AQ378" i="1"/>
  <c r="AQ400" i="1"/>
  <c r="AQ368" i="1"/>
  <c r="AQ376" i="1"/>
  <c r="AQ369" i="1"/>
  <c r="AQ382" i="1"/>
  <c r="AQ394" i="1"/>
  <c r="AQ395" i="1" s="1"/>
  <c r="AQ398" i="1"/>
  <c r="AQ399" i="1" s="1"/>
  <c r="AK339" i="1"/>
  <c r="AK394" i="1"/>
  <c r="AK395" i="1" s="1"/>
  <c r="AK398" i="1"/>
  <c r="AK399" i="1" s="1"/>
  <c r="AK367" i="1"/>
  <c r="AK371" i="1"/>
  <c r="AK375" i="1"/>
  <c r="AK379" i="1"/>
  <c r="AK383" i="1"/>
  <c r="AK390" i="1"/>
  <c r="AK374" i="1"/>
  <c r="AK368" i="1"/>
  <c r="AK372" i="1"/>
  <c r="AK376" i="1"/>
  <c r="AK380" i="1"/>
  <c r="AK384" i="1"/>
  <c r="AK382" i="1"/>
  <c r="AK392" i="1"/>
  <c r="AK393" i="1" s="1"/>
  <c r="AK396" i="1"/>
  <c r="AK397" i="1" s="1"/>
  <c r="AK400" i="1"/>
  <c r="AK369" i="1"/>
  <c r="AK373" i="1"/>
  <c r="AK377" i="1"/>
  <c r="AK381" i="1"/>
  <c r="AK378" i="1"/>
  <c r="AK370" i="1"/>
  <c r="AK343" i="1"/>
  <c r="AK336" i="1"/>
  <c r="AQ372" i="1"/>
  <c r="AQ336" i="1"/>
  <c r="AJ343" i="1"/>
  <c r="AJ394" i="1"/>
  <c r="AJ395" i="1" s="1"/>
  <c r="AJ398" i="1"/>
  <c r="AJ399" i="1" s="1"/>
  <c r="AJ367" i="1"/>
  <c r="AJ371" i="1"/>
  <c r="AJ375" i="1"/>
  <c r="AJ379" i="1"/>
  <c r="AJ383" i="1"/>
  <c r="AJ396" i="1"/>
  <c r="AJ397" i="1" s="1"/>
  <c r="AJ373" i="1"/>
  <c r="AJ370" i="1"/>
  <c r="AJ390" i="1"/>
  <c r="AJ392" i="1"/>
  <c r="AJ393" i="1" s="1"/>
  <c r="AJ369" i="1"/>
  <c r="AJ381" i="1"/>
  <c r="AJ378" i="1"/>
  <c r="AJ368" i="1"/>
  <c r="AJ372" i="1"/>
  <c r="AJ376" i="1"/>
  <c r="AJ380" i="1"/>
  <c r="AJ384" i="1"/>
  <c r="AJ400" i="1"/>
  <c r="AJ377" i="1"/>
  <c r="AJ374" i="1"/>
  <c r="AJ382" i="1"/>
  <c r="AJ336" i="1"/>
  <c r="AJ339" i="1"/>
  <c r="AQ379" i="1"/>
  <c r="AQ370" i="1"/>
  <c r="AQ377" i="1"/>
  <c r="AQ367" i="1"/>
  <c r="AQ381" i="1"/>
  <c r="AQ392" i="1"/>
  <c r="AQ393" i="1" s="1"/>
  <c r="AI390" i="1"/>
  <c r="AI378" i="1"/>
  <c r="AI371" i="1"/>
  <c r="AI375" i="1"/>
  <c r="AI368" i="1"/>
  <c r="AI372" i="1"/>
  <c r="AI376" i="1"/>
  <c r="AI380" i="1"/>
  <c r="AI384" i="1"/>
  <c r="AI370" i="1"/>
  <c r="AI394" i="1"/>
  <c r="AI395" i="1" s="1"/>
  <c r="AI379" i="1"/>
  <c r="AI383" i="1"/>
  <c r="AI392" i="1"/>
  <c r="AI393" i="1" s="1"/>
  <c r="AI396" i="1"/>
  <c r="AI397" i="1" s="1"/>
  <c r="AI400" i="1"/>
  <c r="AI369" i="1"/>
  <c r="AI373" i="1"/>
  <c r="AI377" i="1"/>
  <c r="AI381" i="1"/>
  <c r="AI382" i="1"/>
  <c r="AI367" i="1"/>
  <c r="AI374" i="1"/>
  <c r="AI398" i="1"/>
  <c r="AI399" i="1" s="1"/>
  <c r="AI336" i="1"/>
  <c r="AI343" i="1"/>
  <c r="AI339" i="1"/>
  <c r="AL341" i="1"/>
  <c r="AL402" i="1"/>
  <c r="AL385" i="1"/>
  <c r="AL403" i="1"/>
  <c r="AL386" i="1"/>
  <c r="AG386" i="1"/>
  <c r="AE386" i="1"/>
  <c r="AE340" i="1"/>
  <c r="AE341" i="1"/>
  <c r="AE342" i="1" s="1"/>
  <c r="AE402" i="1"/>
  <c r="AE391" i="1"/>
  <c r="AE403" i="1" s="1"/>
  <c r="AF385" i="1"/>
  <c r="AG391" i="1"/>
  <c r="AG403" i="1" s="1"/>
  <c r="AG402" i="1"/>
  <c r="AG385" i="1"/>
  <c r="AG340" i="1"/>
  <c r="AG341" i="1"/>
  <c r="AF391" i="1"/>
  <c r="AF403" i="1" s="1"/>
  <c r="AF402" i="1"/>
  <c r="AE385" i="1"/>
  <c r="AF340" i="1"/>
  <c r="AF341" i="1"/>
  <c r="AF386" i="1"/>
  <c r="AD342" i="1"/>
  <c r="AB344" i="1"/>
  <c r="AC344" i="1"/>
  <c r="AD344" i="1"/>
  <c r="AA344" i="1"/>
  <c r="AA347" i="1"/>
  <c r="AA348" i="1" s="1"/>
  <c r="AA345" i="1"/>
  <c r="AA346" i="1" s="1"/>
  <c r="AB345" i="1"/>
  <c r="AB346" i="1" s="1"/>
  <c r="AB347" i="1"/>
  <c r="AB348" i="1" s="1"/>
  <c r="AC347" i="1"/>
  <c r="AC348" i="1" s="1"/>
  <c r="AC345" i="1"/>
  <c r="AC346" i="1" s="1"/>
  <c r="AD347" i="1"/>
  <c r="AD348" i="1" s="1"/>
  <c r="AQ358" i="1"/>
  <c r="AQ352" i="1"/>
  <c r="AQ353" i="1"/>
  <c r="AQ351" i="1"/>
  <c r="AQ354" i="1"/>
  <c r="AQ357" i="1"/>
  <c r="AV349" i="1" l="1"/>
  <c r="AV359" i="1"/>
  <c r="AV360" i="1" s="1"/>
  <c r="AM349" i="1"/>
  <c r="AM360" i="1"/>
  <c r="AN360" i="1"/>
  <c r="AN349" i="1"/>
  <c r="V337" i="1"/>
  <c r="V338" i="1" s="1"/>
  <c r="U337" i="1"/>
  <c r="U338" i="1" s="1"/>
  <c r="T337" i="1"/>
  <c r="T338" i="1" s="1"/>
  <c r="W337" i="1"/>
  <c r="W338" i="1" s="1"/>
  <c r="AV371" i="1"/>
  <c r="Y337" i="1"/>
  <c r="Y338" i="1" s="1"/>
  <c r="X337" i="1"/>
  <c r="X338" i="1" s="1"/>
  <c r="Z337" i="1"/>
  <c r="Z338" i="1" s="1"/>
  <c r="AN392" i="1"/>
  <c r="AN393" i="1" s="1"/>
  <c r="AN396" i="1"/>
  <c r="AN397" i="1" s="1"/>
  <c r="AN400" i="1"/>
  <c r="AN368" i="1"/>
  <c r="AN371" i="1"/>
  <c r="AN374" i="1"/>
  <c r="AN377" i="1"/>
  <c r="AN380" i="1"/>
  <c r="AN383" i="1"/>
  <c r="AN372" i="1"/>
  <c r="AN384" i="1"/>
  <c r="AN369" i="1"/>
  <c r="AN378" i="1"/>
  <c r="AN381" i="1"/>
  <c r="AN390" i="1"/>
  <c r="AN394" i="1"/>
  <c r="AN395" i="1" s="1"/>
  <c r="AN375" i="1"/>
  <c r="AN398" i="1"/>
  <c r="AN399" i="1" s="1"/>
  <c r="AN367" i="1"/>
  <c r="AN370" i="1"/>
  <c r="AN373" i="1"/>
  <c r="AN376" i="1"/>
  <c r="AN379" i="1"/>
  <c r="AN382" i="1"/>
  <c r="AM383" i="1"/>
  <c r="AM376" i="1"/>
  <c r="AM379" i="1"/>
  <c r="AM392" i="1"/>
  <c r="AM393" i="1" s="1"/>
  <c r="AM396" i="1"/>
  <c r="AM397" i="1" s="1"/>
  <c r="AM400" i="1"/>
  <c r="AM368" i="1"/>
  <c r="AM371" i="1"/>
  <c r="AM374" i="1"/>
  <c r="AM377" i="1"/>
  <c r="AM380" i="1"/>
  <c r="AM370" i="1"/>
  <c r="AM373" i="1"/>
  <c r="AM390" i="1"/>
  <c r="AM394" i="1"/>
  <c r="AM395" i="1" s="1"/>
  <c r="AM369" i="1"/>
  <c r="AM372" i="1"/>
  <c r="AM375" i="1"/>
  <c r="AM378" i="1"/>
  <c r="AM381" i="1"/>
  <c r="AM384" i="1"/>
  <c r="AM382" i="1"/>
  <c r="AM398" i="1"/>
  <c r="AM399" i="1" s="1"/>
  <c r="AM367" i="1"/>
  <c r="AT335" i="1"/>
  <c r="AT359" i="1" s="1"/>
  <c r="AT360" i="1" s="1"/>
  <c r="AR335" i="1"/>
  <c r="AR359" i="1" s="1"/>
  <c r="AR360" i="1" s="1"/>
  <c r="AU335" i="1"/>
  <c r="AU359" i="1" s="1"/>
  <c r="AU360" i="1" s="1"/>
  <c r="AP372" i="1"/>
  <c r="AP398" i="1"/>
  <c r="AP399" i="1" s="1"/>
  <c r="AP367" i="1"/>
  <c r="AP370" i="1"/>
  <c r="AP373" i="1"/>
  <c r="AP376" i="1"/>
  <c r="AP379" i="1"/>
  <c r="AP382" i="1"/>
  <c r="AP378" i="1"/>
  <c r="AP369" i="1"/>
  <c r="AP390" i="1"/>
  <c r="AP394" i="1"/>
  <c r="AP395" i="1" s="1"/>
  <c r="AP392" i="1"/>
  <c r="AP393" i="1" s="1"/>
  <c r="AP396" i="1"/>
  <c r="AP397" i="1" s="1"/>
  <c r="AP400" i="1"/>
  <c r="AP368" i="1"/>
  <c r="AP371" i="1"/>
  <c r="AP374" i="1"/>
  <c r="AP377" i="1"/>
  <c r="AP380" i="1"/>
  <c r="AP383" i="1"/>
  <c r="AP375" i="1"/>
  <c r="AP384" i="1"/>
  <c r="AP381" i="1"/>
  <c r="AS335" i="1"/>
  <c r="AS359" i="1" s="1"/>
  <c r="AS360" i="1" s="1"/>
  <c r="AO398" i="1"/>
  <c r="AO399" i="1" s="1"/>
  <c r="AO367" i="1"/>
  <c r="AO370" i="1"/>
  <c r="AO373" i="1"/>
  <c r="AO376" i="1"/>
  <c r="AO379" i="1"/>
  <c r="AO382" i="1"/>
  <c r="AO372" i="1"/>
  <c r="AO378" i="1"/>
  <c r="AO392" i="1"/>
  <c r="AO393" i="1" s="1"/>
  <c r="AO396" i="1"/>
  <c r="AO397" i="1" s="1"/>
  <c r="AO400" i="1"/>
  <c r="AO368" i="1"/>
  <c r="AO371" i="1"/>
  <c r="AO374" i="1"/>
  <c r="AO377" i="1"/>
  <c r="AO380" i="1"/>
  <c r="AO383" i="1"/>
  <c r="AO381" i="1"/>
  <c r="AO375" i="1"/>
  <c r="AO384" i="1"/>
  <c r="AO390" i="1"/>
  <c r="AO394" i="1"/>
  <c r="AO395" i="1" s="1"/>
  <c r="AO369" i="1"/>
  <c r="AV373" i="1"/>
  <c r="AV375" i="1"/>
  <c r="AV379" i="1"/>
  <c r="AV377" i="1"/>
  <c r="AV367" i="1"/>
  <c r="AV369" i="1"/>
  <c r="BA335" i="1"/>
  <c r="AV336" i="1"/>
  <c r="AQ340" i="1"/>
  <c r="AV370" i="1"/>
  <c r="AI360" i="1"/>
  <c r="AJ360" i="1"/>
  <c r="AM350" i="1" s="1"/>
  <c r="AV400" i="1"/>
  <c r="AP336" i="1"/>
  <c r="AP349" i="1"/>
  <c r="AP339" i="1"/>
  <c r="AP343" i="1"/>
  <c r="AV374" i="1"/>
  <c r="AV383" i="1"/>
  <c r="AV378" i="1"/>
  <c r="AV372" i="1"/>
  <c r="AV394" i="1"/>
  <c r="AV395" i="1" s="1"/>
  <c r="AO336" i="1"/>
  <c r="AO349" i="1"/>
  <c r="AO339" i="1"/>
  <c r="AO343" i="1"/>
  <c r="AK360" i="1"/>
  <c r="AN350" i="1" s="1"/>
  <c r="AM336" i="1"/>
  <c r="AM339" i="1"/>
  <c r="AM343" i="1"/>
  <c r="AV376" i="1"/>
  <c r="AV398" i="1"/>
  <c r="AV399" i="1" s="1"/>
  <c r="AV380" i="1"/>
  <c r="AV368" i="1"/>
  <c r="AV396" i="1"/>
  <c r="AV397" i="1" s="1"/>
  <c r="AV343" i="1"/>
  <c r="AV392" i="1"/>
  <c r="AV393" i="1" s="1"/>
  <c r="AV381" i="1"/>
  <c r="AV384" i="1"/>
  <c r="AV390" i="1"/>
  <c r="AV339" i="1"/>
  <c r="AV341" i="1" s="1"/>
  <c r="AN336" i="1"/>
  <c r="AN339" i="1"/>
  <c r="AN343" i="1"/>
  <c r="AV382" i="1"/>
  <c r="AK385" i="1"/>
  <c r="AQ385" i="1"/>
  <c r="AQ402" i="1"/>
  <c r="AQ386" i="1"/>
  <c r="AQ403" i="1"/>
  <c r="AI341" i="1"/>
  <c r="AI340" i="1"/>
  <c r="AJ341" i="1"/>
  <c r="AJ340" i="1"/>
  <c r="AJ385" i="1"/>
  <c r="AK386" i="1"/>
  <c r="AI386" i="1"/>
  <c r="AI391" i="1"/>
  <c r="AI403" i="1" s="1"/>
  <c r="AI402" i="1"/>
  <c r="AK391" i="1"/>
  <c r="AK403" i="1" s="1"/>
  <c r="AK402" i="1"/>
  <c r="AK341" i="1"/>
  <c r="AK340" i="1"/>
  <c r="AJ391" i="1"/>
  <c r="AJ403" i="1" s="1"/>
  <c r="AJ402" i="1"/>
  <c r="AI385" i="1"/>
  <c r="AJ386" i="1"/>
  <c r="AC337" i="1"/>
  <c r="AC338" i="1" s="1"/>
  <c r="AB337" i="1"/>
  <c r="AB338" i="1" s="1"/>
  <c r="AA337" i="1"/>
  <c r="AA338" i="1" s="1"/>
  <c r="AV358" i="1"/>
  <c r="AV353" i="1"/>
  <c r="AV352" i="1"/>
  <c r="AV351" i="1"/>
  <c r="AV354" i="1"/>
  <c r="AV357" i="1"/>
  <c r="BA359" i="1" l="1"/>
  <c r="D331" i="1"/>
  <c r="AW345" i="1"/>
  <c r="BA373" i="1"/>
  <c r="BA390" i="1"/>
  <c r="BA368" i="1"/>
  <c r="BA396" i="1"/>
  <c r="BA397" i="1" s="1"/>
  <c r="BA394" i="1"/>
  <c r="BA395" i="1" s="1"/>
  <c r="BA379" i="1"/>
  <c r="BA339" i="1"/>
  <c r="BA341" i="1" s="1"/>
  <c r="AW347" i="1"/>
  <c r="AX335" i="1"/>
  <c r="AX359" i="1" s="1"/>
  <c r="AX360" i="1" s="1"/>
  <c r="AY335" i="1"/>
  <c r="AY359" i="1" s="1"/>
  <c r="AY360" i="1" s="1"/>
  <c r="AZ335" i="1"/>
  <c r="AZ359" i="1" s="1"/>
  <c r="AZ360" i="1" s="1"/>
  <c r="AW335" i="1"/>
  <c r="AW359" i="1" s="1"/>
  <c r="AW360" i="1" s="1"/>
  <c r="BA376" i="1"/>
  <c r="BA383" i="1"/>
  <c r="BA378" i="1"/>
  <c r="BA381" i="1"/>
  <c r="BA392" i="1"/>
  <c r="BA393" i="1" s="1"/>
  <c r="AM385" i="1"/>
  <c r="AM386" i="1"/>
  <c r="BA377" i="1"/>
  <c r="BA374" i="1"/>
  <c r="BA380" i="1"/>
  <c r="BA343" i="1"/>
  <c r="BA382" i="1"/>
  <c r="BA372" i="1"/>
  <c r="BA384" i="1"/>
  <c r="BA369" i="1"/>
  <c r="BA367" i="1"/>
  <c r="BA400" i="1"/>
  <c r="BA349" i="1"/>
  <c r="BA336" i="1"/>
  <c r="BA398" i="1"/>
  <c r="BA399" i="1" s="1"/>
  <c r="AR345" i="1"/>
  <c r="AO385" i="1"/>
  <c r="AS390" i="1"/>
  <c r="AS394" i="1"/>
  <c r="AS395" i="1" s="1"/>
  <c r="AS369" i="1"/>
  <c r="AS372" i="1"/>
  <c r="AS375" i="1"/>
  <c r="AS378" i="1"/>
  <c r="AS381" i="1"/>
  <c r="AS384" i="1"/>
  <c r="AS398" i="1"/>
  <c r="AS399" i="1" s="1"/>
  <c r="AS367" i="1"/>
  <c r="AS370" i="1"/>
  <c r="AS373" i="1"/>
  <c r="AS376" i="1"/>
  <c r="AS379" i="1"/>
  <c r="AS382" i="1"/>
  <c r="AS336" i="1"/>
  <c r="AS349" i="1"/>
  <c r="AS392" i="1"/>
  <c r="AS393" i="1" s="1"/>
  <c r="AS396" i="1"/>
  <c r="AS397" i="1" s="1"/>
  <c r="AS400" i="1"/>
  <c r="AS368" i="1"/>
  <c r="AS371" i="1"/>
  <c r="AS374" i="1"/>
  <c r="AS377" i="1"/>
  <c r="AS380" i="1"/>
  <c r="AS383" i="1"/>
  <c r="AS339" i="1"/>
  <c r="AS343" i="1"/>
  <c r="AP386" i="1"/>
  <c r="AU343" i="1"/>
  <c r="AU390" i="1"/>
  <c r="AU394" i="1"/>
  <c r="AU395" i="1" s="1"/>
  <c r="AU369" i="1"/>
  <c r="AU372" i="1"/>
  <c r="AU375" i="1"/>
  <c r="AU378" i="1"/>
  <c r="AU381" i="1"/>
  <c r="AU384" i="1"/>
  <c r="AU398" i="1"/>
  <c r="AU399" i="1" s="1"/>
  <c r="AU367" i="1"/>
  <c r="AU370" i="1"/>
  <c r="AU373" i="1"/>
  <c r="AU376" i="1"/>
  <c r="AU379" i="1"/>
  <c r="AU382" i="1"/>
  <c r="AU336" i="1"/>
  <c r="AU349" i="1"/>
  <c r="AU392" i="1"/>
  <c r="AU393" i="1" s="1"/>
  <c r="AU396" i="1"/>
  <c r="AU397" i="1" s="1"/>
  <c r="AU400" i="1"/>
  <c r="AU368" i="1"/>
  <c r="AU371" i="1"/>
  <c r="AU374" i="1"/>
  <c r="AU377" i="1"/>
  <c r="AU380" i="1"/>
  <c r="AU383" i="1"/>
  <c r="AU339" i="1"/>
  <c r="AN402" i="1"/>
  <c r="AN391" i="1"/>
  <c r="AN403" i="1" s="1"/>
  <c r="AO391" i="1"/>
  <c r="AO403" i="1" s="1"/>
  <c r="AO402" i="1"/>
  <c r="AP391" i="1"/>
  <c r="AP403" i="1" s="1"/>
  <c r="AP402" i="1"/>
  <c r="AR390" i="1"/>
  <c r="AR394" i="1"/>
  <c r="AR395" i="1" s="1"/>
  <c r="AR369" i="1"/>
  <c r="AR372" i="1"/>
  <c r="AR375" i="1"/>
  <c r="AR378" i="1"/>
  <c r="AR381" i="1"/>
  <c r="AR384" i="1"/>
  <c r="AR398" i="1"/>
  <c r="AR399" i="1" s="1"/>
  <c r="AR367" i="1"/>
  <c r="AR370" i="1"/>
  <c r="AR373" i="1"/>
  <c r="AR376" i="1"/>
  <c r="AR379" i="1"/>
  <c r="AR382" i="1"/>
  <c r="AR336" i="1"/>
  <c r="AR349" i="1"/>
  <c r="AR392" i="1"/>
  <c r="AR393" i="1" s="1"/>
  <c r="AR396" i="1"/>
  <c r="AR397" i="1" s="1"/>
  <c r="AR400" i="1"/>
  <c r="AR368" i="1"/>
  <c r="AR371" i="1"/>
  <c r="AR374" i="1"/>
  <c r="AR377" i="1"/>
  <c r="AR380" i="1"/>
  <c r="AR383" i="1"/>
  <c r="AR339" i="1"/>
  <c r="AR343" i="1"/>
  <c r="AR344" i="1" s="1"/>
  <c r="AM402" i="1"/>
  <c r="AM391" i="1"/>
  <c r="AM403" i="1" s="1"/>
  <c r="AP385" i="1"/>
  <c r="AT374" i="1"/>
  <c r="AT339" i="1"/>
  <c r="AT380" i="1"/>
  <c r="AT390" i="1"/>
  <c r="AT394" i="1"/>
  <c r="AT395" i="1" s="1"/>
  <c r="AT369" i="1"/>
  <c r="AT372" i="1"/>
  <c r="AT375" i="1"/>
  <c r="AT378" i="1"/>
  <c r="AT381" i="1"/>
  <c r="AT384" i="1"/>
  <c r="AT396" i="1"/>
  <c r="AT397" i="1" s="1"/>
  <c r="AT368" i="1"/>
  <c r="AT371" i="1"/>
  <c r="AT377" i="1"/>
  <c r="AT398" i="1"/>
  <c r="AT399" i="1" s="1"/>
  <c r="AT367" i="1"/>
  <c r="AT370" i="1"/>
  <c r="AT373" i="1"/>
  <c r="AT376" i="1"/>
  <c r="AT379" i="1"/>
  <c r="AT382" i="1"/>
  <c r="AT336" i="1"/>
  <c r="AT392" i="1"/>
  <c r="AT393" i="1" s="1"/>
  <c r="AT349" i="1"/>
  <c r="AT383" i="1"/>
  <c r="AT343" i="1"/>
  <c r="AT400" i="1"/>
  <c r="AN386" i="1"/>
  <c r="AV402" i="1"/>
  <c r="AO386" i="1"/>
  <c r="AN385" i="1"/>
  <c r="AR350" i="1"/>
  <c r="BA375" i="1"/>
  <c r="BF335" i="1"/>
  <c r="BF359" i="1" s="1"/>
  <c r="BF360" i="1" s="1"/>
  <c r="AV385" i="1"/>
  <c r="BA371" i="1"/>
  <c r="BA370" i="1"/>
  <c r="AV340" i="1"/>
  <c r="AN344" i="1"/>
  <c r="AV386" i="1"/>
  <c r="AO341" i="1"/>
  <c r="AO342" i="1" s="1"/>
  <c r="AO340" i="1"/>
  <c r="AN341" i="1"/>
  <c r="AN340" i="1"/>
  <c r="AP340" i="1"/>
  <c r="AP341" i="1"/>
  <c r="AV391" i="1"/>
  <c r="AV403" i="1" s="1"/>
  <c r="AI344" i="1"/>
  <c r="AN347" i="1"/>
  <c r="AN348" i="1" s="1"/>
  <c r="AN345" i="1"/>
  <c r="AP350" i="1"/>
  <c r="AM347" i="1"/>
  <c r="AM348" i="1" s="1"/>
  <c r="AM344" i="1"/>
  <c r="AM341" i="1"/>
  <c r="AM342" i="1" s="1"/>
  <c r="AM340" i="1"/>
  <c r="AJ345" i="1"/>
  <c r="AI345" i="1"/>
  <c r="AJ347" i="1"/>
  <c r="AJ348" i="1" s="1"/>
  <c r="AI347" i="1"/>
  <c r="AI348" i="1" s="1"/>
  <c r="AK345" i="1"/>
  <c r="AK347" i="1"/>
  <c r="AK348" i="1" s="1"/>
  <c r="AJ342" i="1"/>
  <c r="AI342" i="1"/>
  <c r="AK342" i="1"/>
  <c r="AJ344" i="1"/>
  <c r="AK344" i="1"/>
  <c r="AO347" i="1"/>
  <c r="AO348" i="1" s="1"/>
  <c r="BA354" i="1"/>
  <c r="BA351" i="1"/>
  <c r="BA357" i="1"/>
  <c r="BA352" i="1"/>
  <c r="BA353" i="1"/>
  <c r="BA391" i="1"/>
  <c r="BB335" i="1" l="1"/>
  <c r="BD335" i="1"/>
  <c r="BE335" i="1"/>
  <c r="BC335" i="1"/>
  <c r="BF373" i="1"/>
  <c r="BF396" i="1"/>
  <c r="BF397" i="1" s="1"/>
  <c r="BF398" i="1"/>
  <c r="BF399" i="1" s="1"/>
  <c r="AX347" i="1"/>
  <c r="AX345" i="1"/>
  <c r="BA360" i="1"/>
  <c r="BA340" i="1"/>
  <c r="BA403" i="1"/>
  <c r="BF349" i="1"/>
  <c r="BF370" i="1"/>
  <c r="BF368" i="1"/>
  <c r="BF336" i="1"/>
  <c r="AT344" i="1"/>
  <c r="AU344" i="1"/>
  <c r="BA344" i="1"/>
  <c r="AW390" i="1"/>
  <c r="AW394" i="1"/>
  <c r="AW395" i="1" s="1"/>
  <c r="AW398" i="1"/>
  <c r="AW399" i="1" s="1"/>
  <c r="AW336" i="1"/>
  <c r="AW392" i="1"/>
  <c r="AW393" i="1" s="1"/>
  <c r="AW349" i="1"/>
  <c r="AW396" i="1"/>
  <c r="AW397" i="1" s="1"/>
  <c r="AW400" i="1"/>
  <c r="AW339" i="1"/>
  <c r="AW343" i="1"/>
  <c r="AW344" i="1" s="1"/>
  <c r="AW370" i="1"/>
  <c r="AW369" i="1"/>
  <c r="AW372" i="1"/>
  <c r="AW375" i="1"/>
  <c r="AW380" i="1"/>
  <c r="AW367" i="1"/>
  <c r="AW383" i="1"/>
  <c r="AW368" i="1"/>
  <c r="AW384" i="1"/>
  <c r="AW377" i="1"/>
  <c r="AW379" i="1"/>
  <c r="AW382" i="1"/>
  <c r="AW373" i="1"/>
  <c r="AW376" i="1"/>
  <c r="AW371" i="1"/>
  <c r="AW378" i="1"/>
  <c r="AW381" i="1"/>
  <c r="AW374" i="1"/>
  <c r="AZ396" i="1"/>
  <c r="AZ397" i="1" s="1"/>
  <c r="AZ390" i="1"/>
  <c r="AZ394" i="1"/>
  <c r="AZ395" i="1" s="1"/>
  <c r="AZ349" i="1"/>
  <c r="AZ339" i="1"/>
  <c r="AZ398" i="1"/>
  <c r="AZ399" i="1" s="1"/>
  <c r="AZ336" i="1"/>
  <c r="AZ400" i="1"/>
  <c r="AZ343" i="1"/>
  <c r="AZ392" i="1"/>
  <c r="AZ393" i="1" s="1"/>
  <c r="AZ370" i="1"/>
  <c r="AZ369" i="1"/>
  <c r="AZ384" i="1"/>
  <c r="AZ376" i="1"/>
  <c r="AZ382" i="1"/>
  <c r="AZ379" i="1"/>
  <c r="AZ374" i="1"/>
  <c r="AZ383" i="1"/>
  <c r="AZ378" i="1"/>
  <c r="AZ367" i="1"/>
  <c r="AZ380" i="1"/>
  <c r="AZ381" i="1"/>
  <c r="AZ372" i="1"/>
  <c r="AZ377" i="1"/>
  <c r="AZ368" i="1"/>
  <c r="AZ375" i="1"/>
  <c r="AZ373" i="1"/>
  <c r="AZ371" i="1"/>
  <c r="AY343" i="1"/>
  <c r="AY390" i="1"/>
  <c r="AY394" i="1"/>
  <c r="AY395" i="1" s="1"/>
  <c r="AY400" i="1"/>
  <c r="AY398" i="1"/>
  <c r="AY399" i="1" s="1"/>
  <c r="AY336" i="1"/>
  <c r="AY339" i="1"/>
  <c r="AY349" i="1"/>
  <c r="AY392" i="1"/>
  <c r="AY393" i="1" s="1"/>
  <c r="AY396" i="1"/>
  <c r="AY397" i="1" s="1"/>
  <c r="AY370" i="1"/>
  <c r="AY369" i="1"/>
  <c r="AY379" i="1"/>
  <c r="AY371" i="1"/>
  <c r="AY384" i="1"/>
  <c r="AY374" i="1"/>
  <c r="AY380" i="1"/>
  <c r="AY367" i="1"/>
  <c r="AY381" i="1"/>
  <c r="AY373" i="1"/>
  <c r="AY383" i="1"/>
  <c r="AY378" i="1"/>
  <c r="AY382" i="1"/>
  <c r="AY372" i="1"/>
  <c r="AY375" i="1"/>
  <c r="AY377" i="1"/>
  <c r="AY368" i="1"/>
  <c r="AY376" i="1"/>
  <c r="AX390" i="1"/>
  <c r="AX394" i="1"/>
  <c r="AX395" i="1" s="1"/>
  <c r="AX398" i="1"/>
  <c r="AX399" i="1" s="1"/>
  <c r="AX336" i="1"/>
  <c r="AX343" i="1"/>
  <c r="AX344" i="1" s="1"/>
  <c r="AX349" i="1"/>
  <c r="AX400" i="1"/>
  <c r="AX339" i="1"/>
  <c r="AX396" i="1"/>
  <c r="AX397" i="1" s="1"/>
  <c r="AX392" i="1"/>
  <c r="AX393" i="1" s="1"/>
  <c r="AX369" i="1"/>
  <c r="AX370" i="1"/>
  <c r="AX371" i="1"/>
  <c r="AX374" i="1"/>
  <c r="AX376" i="1"/>
  <c r="AX378" i="1"/>
  <c r="AX381" i="1"/>
  <c r="AX383" i="1"/>
  <c r="AX380" i="1"/>
  <c r="AX372" i="1"/>
  <c r="AX367" i="1"/>
  <c r="AX375" i="1"/>
  <c r="AX377" i="1"/>
  <c r="AX382" i="1"/>
  <c r="AX368" i="1"/>
  <c r="AX373" i="1"/>
  <c r="AX384" i="1"/>
  <c r="AX379" i="1"/>
  <c r="BF371" i="1"/>
  <c r="BF369" i="1"/>
  <c r="BA386" i="1"/>
  <c r="AM345" i="1"/>
  <c r="AM346" i="1" s="1"/>
  <c r="AM337" i="1" s="1"/>
  <c r="AM338" i="1" s="1"/>
  <c r="AP345" i="1"/>
  <c r="AR347" i="1"/>
  <c r="AR348" i="1" s="1"/>
  <c r="AR346" i="1" s="1"/>
  <c r="AR337" i="1" s="1"/>
  <c r="AR338" i="1" s="1"/>
  <c r="AS344" i="1"/>
  <c r="AS345" i="1"/>
  <c r="AS350" i="1"/>
  <c r="AS347" i="1"/>
  <c r="AS348" i="1" s="1"/>
  <c r="AO344" i="1"/>
  <c r="AO350" i="1"/>
  <c r="AN342" i="1"/>
  <c r="BA385" i="1"/>
  <c r="AP344" i="1"/>
  <c r="BA402" i="1"/>
  <c r="AP347" i="1"/>
  <c r="AP348" i="1" s="1"/>
  <c r="AO345" i="1"/>
  <c r="AO346" i="1" s="1"/>
  <c r="AP342" i="1"/>
  <c r="AT385" i="1"/>
  <c r="BF343" i="1"/>
  <c r="BF400" i="1"/>
  <c r="BF367" i="1"/>
  <c r="AT402" i="1"/>
  <c r="AT391" i="1"/>
  <c r="AT403" i="1" s="1"/>
  <c r="BG335" i="1"/>
  <c r="BG384" i="1" s="1"/>
  <c r="BF390" i="1"/>
  <c r="BF391" i="1" s="1"/>
  <c r="BF394" i="1"/>
  <c r="BF395" i="1" s="1"/>
  <c r="AT340" i="1"/>
  <c r="AT341" i="1"/>
  <c r="AT342" i="1" s="1"/>
  <c r="AS340" i="1"/>
  <c r="AS341" i="1"/>
  <c r="AS342" i="1" s="1"/>
  <c r="AS385" i="1"/>
  <c r="BF384" i="1"/>
  <c r="BF392" i="1"/>
  <c r="BF393" i="1" s="1"/>
  <c r="BF339" i="1"/>
  <c r="BF341" i="1" s="1"/>
  <c r="AR402" i="1"/>
  <c r="AR391" i="1"/>
  <c r="AR403" i="1" s="1"/>
  <c r="AS402" i="1"/>
  <c r="AS391" i="1"/>
  <c r="AS403" i="1" s="1"/>
  <c r="AS386" i="1"/>
  <c r="BF381" i="1"/>
  <c r="AU386" i="1"/>
  <c r="BF382" i="1"/>
  <c r="BF380" i="1"/>
  <c r="BF379" i="1"/>
  <c r="AU340" i="1"/>
  <c r="AU341" i="1"/>
  <c r="AU385" i="1"/>
  <c r="BF383" i="1"/>
  <c r="BF378" i="1"/>
  <c r="BF376" i="1"/>
  <c r="BF377" i="1"/>
  <c r="AR386" i="1"/>
  <c r="AU402" i="1"/>
  <c r="AU391" i="1"/>
  <c r="AU403" i="1" s="1"/>
  <c r="BF374" i="1"/>
  <c r="BF375" i="1"/>
  <c r="BF372" i="1"/>
  <c r="AT386" i="1"/>
  <c r="AR340" i="1"/>
  <c r="AR341" i="1"/>
  <c r="AR342" i="1" s="1"/>
  <c r="AR385" i="1"/>
  <c r="AN346" i="1"/>
  <c r="AN337" i="1" s="1"/>
  <c r="AN338" i="1" s="1"/>
  <c r="AK346" i="1"/>
  <c r="AK337" i="1" s="1"/>
  <c r="AK338" i="1" s="1"/>
  <c r="AI346" i="1"/>
  <c r="AI337" i="1" s="1"/>
  <c r="AI338" i="1" s="1"/>
  <c r="AJ346" i="1"/>
  <c r="AJ337" i="1" s="1"/>
  <c r="AJ338" i="1" s="1"/>
  <c r="AH345" i="1"/>
  <c r="AL345" i="1"/>
  <c r="AF347" i="1"/>
  <c r="AF348" i="1" s="1"/>
  <c r="AF344" i="1"/>
  <c r="AF342" i="1"/>
  <c r="AH344" i="1"/>
  <c r="AL344" i="1"/>
  <c r="AQ344" i="1"/>
  <c r="AG344" i="1"/>
  <c r="AQ342" i="1"/>
  <c r="AG345" i="1"/>
  <c r="AG342" i="1"/>
  <c r="AG347" i="1"/>
  <c r="AG348" i="1" s="1"/>
  <c r="AF345" i="1"/>
  <c r="AH342" i="1"/>
  <c r="AL342" i="1"/>
  <c r="AH347" i="1"/>
  <c r="AH348" i="1" s="1"/>
  <c r="AD345" i="1"/>
  <c r="AD346" i="1" s="1"/>
  <c r="AQ350" i="1"/>
  <c r="BK358" i="1"/>
  <c r="BK360" i="1"/>
  <c r="BK345" i="1" s="1"/>
  <c r="BK354" i="1"/>
  <c r="BK351" i="1"/>
  <c r="BK357" i="1"/>
  <c r="BL334" i="1"/>
  <c r="BK353" i="1"/>
  <c r="BK352" i="1"/>
  <c r="AO337" i="1" l="1"/>
  <c r="BB350" i="1"/>
  <c r="BB345" i="1"/>
  <c r="BB347" i="1"/>
  <c r="BB348" i="1" s="1"/>
  <c r="BB346" i="1" s="1"/>
  <c r="BC339" i="1"/>
  <c r="BC392" i="1"/>
  <c r="BC393" i="1" s="1"/>
  <c r="BC396" i="1"/>
  <c r="BC397" i="1" s="1"/>
  <c r="BC369" i="1"/>
  <c r="BC372" i="1"/>
  <c r="BC375" i="1"/>
  <c r="BC378" i="1"/>
  <c r="BC381" i="1"/>
  <c r="BC384" i="1"/>
  <c r="BC400" i="1"/>
  <c r="BC359" i="1"/>
  <c r="BC360" i="1" s="1"/>
  <c r="BC374" i="1"/>
  <c r="BC394" i="1"/>
  <c r="BC395" i="1" s="1"/>
  <c r="BC371" i="1"/>
  <c r="BC390" i="1"/>
  <c r="BC349" i="1"/>
  <c r="BC368" i="1"/>
  <c r="BC336" i="1"/>
  <c r="BC398" i="1"/>
  <c r="BC399" i="1" s="1"/>
  <c r="BC367" i="1"/>
  <c r="BC370" i="1"/>
  <c r="BC373" i="1"/>
  <c r="BC376" i="1"/>
  <c r="BC379" i="1"/>
  <c r="BC382" i="1"/>
  <c r="BC383" i="1"/>
  <c r="BC377" i="1"/>
  <c r="BC380" i="1"/>
  <c r="BC343" i="1"/>
  <c r="BE343" i="1"/>
  <c r="BE400" i="1"/>
  <c r="BE368" i="1"/>
  <c r="BE371" i="1"/>
  <c r="BE374" i="1"/>
  <c r="BE377" i="1"/>
  <c r="BE380" i="1"/>
  <c r="BE383" i="1"/>
  <c r="BE392" i="1"/>
  <c r="BE393" i="1" s="1"/>
  <c r="BE396" i="1"/>
  <c r="BE397" i="1" s="1"/>
  <c r="BE369" i="1"/>
  <c r="BE372" i="1"/>
  <c r="BE375" i="1"/>
  <c r="BE378" i="1"/>
  <c r="BE381" i="1"/>
  <c r="BE384" i="1"/>
  <c r="BE359" i="1"/>
  <c r="BE360" i="1" s="1"/>
  <c r="BF342" i="1" s="1"/>
  <c r="BE394" i="1"/>
  <c r="BE395" i="1" s="1"/>
  <c r="BE390" i="1"/>
  <c r="BE398" i="1"/>
  <c r="BE399" i="1" s="1"/>
  <c r="BE367" i="1"/>
  <c r="BE370" i="1"/>
  <c r="BE373" i="1"/>
  <c r="BE376" i="1"/>
  <c r="BE379" i="1"/>
  <c r="BE382" i="1"/>
  <c r="BE336" i="1"/>
  <c r="BE349" i="1"/>
  <c r="BE339" i="1"/>
  <c r="BD343" i="1"/>
  <c r="BD344" i="1" s="1"/>
  <c r="BD382" i="1"/>
  <c r="BD383" i="1"/>
  <c r="BD392" i="1"/>
  <c r="BD393" i="1" s="1"/>
  <c r="BD396" i="1"/>
  <c r="BD397" i="1" s="1"/>
  <c r="BD336" i="1"/>
  <c r="BD380" i="1"/>
  <c r="BD379" i="1"/>
  <c r="BD369" i="1"/>
  <c r="BD372" i="1"/>
  <c r="BD375" i="1"/>
  <c r="BD378" i="1"/>
  <c r="BD381" i="1"/>
  <c r="BD384" i="1"/>
  <c r="BD359" i="1"/>
  <c r="BD360" i="1" s="1"/>
  <c r="BD394" i="1"/>
  <c r="BD395" i="1" s="1"/>
  <c r="BD390" i="1"/>
  <c r="BD339" i="1"/>
  <c r="BD398" i="1"/>
  <c r="BD399" i="1" s="1"/>
  <c r="BD367" i="1"/>
  <c r="BD370" i="1"/>
  <c r="BD373" i="1"/>
  <c r="BD376" i="1"/>
  <c r="BD374" i="1"/>
  <c r="BD400" i="1"/>
  <c r="BD368" i="1"/>
  <c r="BD371" i="1"/>
  <c r="BD377" i="1"/>
  <c r="BD349" i="1"/>
  <c r="BB339" i="1"/>
  <c r="BB375" i="1"/>
  <c r="BB381" i="1"/>
  <c r="BB369" i="1"/>
  <c r="BB372" i="1"/>
  <c r="BB378" i="1"/>
  <c r="BB384" i="1"/>
  <c r="BB371" i="1"/>
  <c r="BB359" i="1"/>
  <c r="BB360" i="1" s="1"/>
  <c r="BB368" i="1"/>
  <c r="BB394" i="1"/>
  <c r="BB395" i="1" s="1"/>
  <c r="BB380" i="1"/>
  <c r="BB390" i="1"/>
  <c r="BB374" i="1"/>
  <c r="BB398" i="1"/>
  <c r="BB399" i="1" s="1"/>
  <c r="BB367" i="1"/>
  <c r="BB370" i="1"/>
  <c r="BB373" i="1"/>
  <c r="BB376" i="1"/>
  <c r="BB379" i="1"/>
  <c r="BB382" i="1"/>
  <c r="BB400" i="1"/>
  <c r="BB383" i="1"/>
  <c r="BB377" i="1"/>
  <c r="BB392" i="1"/>
  <c r="BB393" i="1" s="1"/>
  <c r="BB396" i="1"/>
  <c r="BB397" i="1" s="1"/>
  <c r="BB336" i="1"/>
  <c r="BB349" i="1"/>
  <c r="BB343" i="1"/>
  <c r="BB344" i="1" s="1"/>
  <c r="AO338" i="1"/>
  <c r="BG359" i="1"/>
  <c r="AX350" i="1"/>
  <c r="AX348" i="1"/>
  <c r="AX346" i="1" s="1"/>
  <c r="AX337" i="1" s="1"/>
  <c r="AV342" i="1"/>
  <c r="AW350" i="1"/>
  <c r="AW348" i="1"/>
  <c r="AW346" i="1" s="1"/>
  <c r="AW337" i="1" s="1"/>
  <c r="BG336" i="1"/>
  <c r="BG376" i="1"/>
  <c r="AT345" i="1"/>
  <c r="AT350" i="1"/>
  <c r="AT347" i="1"/>
  <c r="AT348" i="1" s="1"/>
  <c r="AU347" i="1"/>
  <c r="AU348" i="1" s="1"/>
  <c r="AU350" i="1"/>
  <c r="AU345" i="1"/>
  <c r="AY344" i="1"/>
  <c r="BA345" i="1"/>
  <c r="AP346" i="1"/>
  <c r="AP337" i="1" s="1"/>
  <c r="AP338" i="1" s="1"/>
  <c r="BA350" i="1"/>
  <c r="BA342" i="1"/>
  <c r="AU342" i="1"/>
  <c r="AV344" i="1"/>
  <c r="BG381" i="1"/>
  <c r="BG379" i="1"/>
  <c r="BG375" i="1"/>
  <c r="BG382" i="1"/>
  <c r="BG380" i="1"/>
  <c r="AZ344" i="1"/>
  <c r="AW385" i="1"/>
  <c r="AV350" i="1"/>
  <c r="AY340" i="1"/>
  <c r="AY341" i="1"/>
  <c r="AY342" i="1" s="1"/>
  <c r="AY385" i="1"/>
  <c r="AX386" i="1"/>
  <c r="AX402" i="1"/>
  <c r="AX391" i="1"/>
  <c r="AX403" i="1" s="1"/>
  <c r="AZ385" i="1"/>
  <c r="AY386" i="1"/>
  <c r="AW402" i="1"/>
  <c r="AW391" i="1"/>
  <c r="AW403" i="1" s="1"/>
  <c r="AY402" i="1"/>
  <c r="AY391" i="1"/>
  <c r="AY403" i="1" s="1"/>
  <c r="AZ340" i="1"/>
  <c r="AZ341" i="1"/>
  <c r="AZ342" i="1" s="1"/>
  <c r="AX340" i="1"/>
  <c r="AX341" i="1"/>
  <c r="AX342" i="1" s="1"/>
  <c r="AZ347" i="1"/>
  <c r="AZ348" i="1" s="1"/>
  <c r="AZ345" i="1"/>
  <c r="AZ350" i="1"/>
  <c r="AW341" i="1"/>
  <c r="AW342" i="1" s="1"/>
  <c r="AW340" i="1"/>
  <c r="AZ402" i="1"/>
  <c r="AZ391" i="1"/>
  <c r="AZ403" i="1" s="1"/>
  <c r="AY347" i="1"/>
  <c r="AY348" i="1" s="1"/>
  <c r="AY345" i="1"/>
  <c r="AY350" i="1"/>
  <c r="BF385" i="1"/>
  <c r="AX385" i="1"/>
  <c r="AZ386" i="1"/>
  <c r="AW386" i="1"/>
  <c r="BF386" i="1"/>
  <c r="AS346" i="1"/>
  <c r="AS337" i="1" s="1"/>
  <c r="AS338" i="1" s="1"/>
  <c r="BF340" i="1"/>
  <c r="BG377" i="1"/>
  <c r="BG378" i="1"/>
  <c r="BG373" i="1"/>
  <c r="BG374" i="1"/>
  <c r="BF402" i="1"/>
  <c r="BG370" i="1"/>
  <c r="BF403" i="1"/>
  <c r="BG367" i="1"/>
  <c r="BG368" i="1"/>
  <c r="BG369" i="1"/>
  <c r="BG396" i="1"/>
  <c r="BG397" i="1" s="1"/>
  <c r="BG398" i="1"/>
  <c r="BG399" i="1" s="1"/>
  <c r="BG400" i="1"/>
  <c r="BG372" i="1"/>
  <c r="BH335" i="1"/>
  <c r="BH382" i="1" s="1"/>
  <c r="BG390" i="1"/>
  <c r="BG391" i="1" s="1"/>
  <c r="BG394" i="1"/>
  <c r="BG395" i="1" s="1"/>
  <c r="BG371" i="1"/>
  <c r="BG343" i="1"/>
  <c r="BG344" i="1" s="1"/>
  <c r="BG339" i="1"/>
  <c r="BG341" i="1" s="1"/>
  <c r="BG342" i="1" s="1"/>
  <c r="BG392" i="1"/>
  <c r="BG393" i="1" s="1"/>
  <c r="BG349" i="1"/>
  <c r="BG383" i="1"/>
  <c r="AG346" i="1"/>
  <c r="AG337" i="1" s="1"/>
  <c r="AG338" i="1" s="1"/>
  <c r="AF346" i="1"/>
  <c r="AF337" i="1" s="1"/>
  <c r="AF338" i="1" s="1"/>
  <c r="AD337" i="1"/>
  <c r="AD338" i="1" s="1"/>
  <c r="BA347" i="1"/>
  <c r="BA348" i="1" s="1"/>
  <c r="AQ345" i="1"/>
  <c r="AH346" i="1"/>
  <c r="AV347" i="1"/>
  <c r="AV348" i="1" s="1"/>
  <c r="AL347" i="1"/>
  <c r="AL348" i="1" s="1"/>
  <c r="AV345" i="1"/>
  <c r="AQ347" i="1"/>
  <c r="AQ348" i="1" s="1"/>
  <c r="BL358" i="1"/>
  <c r="BL357" i="1"/>
  <c r="BL360" i="1"/>
  <c r="BC347" i="1" s="1"/>
  <c r="BC348" i="1" s="1"/>
  <c r="BD386" i="1" l="1"/>
  <c r="BC344" i="1"/>
  <c r="BE385" i="1"/>
  <c r="BC385" i="1"/>
  <c r="BD341" i="1"/>
  <c r="BD340" i="1"/>
  <c r="BE386" i="1"/>
  <c r="BD402" i="1"/>
  <c r="BD391" i="1"/>
  <c r="BD403" i="1" s="1"/>
  <c r="BC345" i="1"/>
  <c r="BC350" i="1"/>
  <c r="BE345" i="1"/>
  <c r="BE350" i="1"/>
  <c r="BE347" i="1"/>
  <c r="BE348" i="1" s="1"/>
  <c r="BC402" i="1"/>
  <c r="BC391" i="1"/>
  <c r="BC403" i="1"/>
  <c r="BC386" i="1"/>
  <c r="BB386" i="1"/>
  <c r="BE402" i="1"/>
  <c r="BE391" i="1"/>
  <c r="BE403" i="1" s="1"/>
  <c r="BC341" i="1"/>
  <c r="BC342" i="1" s="1"/>
  <c r="BC340" i="1"/>
  <c r="BB337" i="1"/>
  <c r="BB338" i="1" s="1"/>
  <c r="BE341" i="1"/>
  <c r="BE342" i="1" s="1"/>
  <c r="BE340" i="1"/>
  <c r="BF347" i="1"/>
  <c r="BF348" i="1" s="1"/>
  <c r="BF345" i="1"/>
  <c r="BF350" i="1"/>
  <c r="BD350" i="1"/>
  <c r="BD347" i="1"/>
  <c r="BD348" i="1" s="1"/>
  <c r="BD345" i="1"/>
  <c r="BD342" i="1"/>
  <c r="BF344" i="1"/>
  <c r="BB385" i="1"/>
  <c r="BD385" i="1"/>
  <c r="BA346" i="1"/>
  <c r="BB391" i="1"/>
  <c r="BB403" i="1" s="1"/>
  <c r="BB402" i="1"/>
  <c r="BB341" i="1"/>
  <c r="BB342" i="1" s="1"/>
  <c r="BB340" i="1"/>
  <c r="BE344" i="1"/>
  <c r="AT346" i="1"/>
  <c r="AT337" i="1" s="1"/>
  <c r="AT338" i="1" s="1"/>
  <c r="AW338" i="1"/>
  <c r="AX338" i="1"/>
  <c r="BG350" i="1"/>
  <c r="BG347" i="1"/>
  <c r="BG348" i="1" s="1"/>
  <c r="BG345" i="1"/>
  <c r="BH359" i="1"/>
  <c r="BG360" i="1"/>
  <c r="AU346" i="1"/>
  <c r="AU337" i="1" s="1"/>
  <c r="AU338" i="1" s="1"/>
  <c r="AY346" i="1"/>
  <c r="AY337" i="1" s="1"/>
  <c r="AY338" i="1" s="1"/>
  <c r="BH369" i="1"/>
  <c r="BH373" i="1"/>
  <c r="BG386" i="1"/>
  <c r="AZ346" i="1"/>
  <c r="AZ337" i="1" s="1"/>
  <c r="AZ338" i="1" s="1"/>
  <c r="BH398" i="1"/>
  <c r="BH399" i="1" s="1"/>
  <c r="BH371" i="1"/>
  <c r="BH380" i="1"/>
  <c r="BH384" i="1"/>
  <c r="BH378" i="1"/>
  <c r="BH376" i="1"/>
  <c r="BH343" i="1"/>
  <c r="BH344" i="1" s="1"/>
  <c r="BH374" i="1"/>
  <c r="BG385" i="1"/>
  <c r="BG403" i="1"/>
  <c r="BH372" i="1"/>
  <c r="BH379" i="1"/>
  <c r="BH370" i="1"/>
  <c r="BH392" i="1"/>
  <c r="BH393" i="1" s="1"/>
  <c r="BH368" i="1"/>
  <c r="BH394" i="1"/>
  <c r="BH395" i="1" s="1"/>
  <c r="BH400" i="1"/>
  <c r="BI335" i="1"/>
  <c r="BI394" i="1" s="1"/>
  <c r="BI395" i="1" s="1"/>
  <c r="BH375" i="1"/>
  <c r="BH381" i="1"/>
  <c r="BH349" i="1"/>
  <c r="BH367" i="1"/>
  <c r="BG402" i="1"/>
  <c r="BH336" i="1"/>
  <c r="BH383" i="1"/>
  <c r="BH396" i="1"/>
  <c r="BH397" i="1" s="1"/>
  <c r="BG340" i="1"/>
  <c r="BH390" i="1"/>
  <c r="BH391" i="1" s="1"/>
  <c r="BH377" i="1"/>
  <c r="BL350" i="1"/>
  <c r="AE345" i="1"/>
  <c r="AE346" i="1" s="1"/>
  <c r="AE337" i="1" s="1"/>
  <c r="AE338" i="1" s="1"/>
  <c r="AV346" i="1"/>
  <c r="AV337" i="1" s="1"/>
  <c r="AV338" i="1" s="1"/>
  <c r="BH340" i="1"/>
  <c r="BH341" i="1"/>
  <c r="AH337" i="1"/>
  <c r="AH338" i="1" s="1"/>
  <c r="AQ346" i="1"/>
  <c r="AQ337" i="1" s="1"/>
  <c r="AQ338" i="1" s="1"/>
  <c r="AL346" i="1"/>
  <c r="AL337" i="1" s="1"/>
  <c r="AL338" i="1" s="1"/>
  <c r="BA337" i="1"/>
  <c r="BA338" i="1" s="1"/>
  <c r="BF346" i="1" l="1"/>
  <c r="BF337" i="1" s="1"/>
  <c r="BF338" i="1" s="1"/>
  <c r="BC346" i="1"/>
  <c r="BC337" i="1" s="1"/>
  <c r="BC338" i="1" s="1"/>
  <c r="BD346" i="1"/>
  <c r="BD337" i="1" s="1"/>
  <c r="BD338" i="1" s="1"/>
  <c r="BE346" i="1"/>
  <c r="BE337" i="1" s="1"/>
  <c r="BE338" i="1" s="1"/>
  <c r="BH342" i="1"/>
  <c r="BH350" i="1"/>
  <c r="BH347" i="1"/>
  <c r="BH348" i="1" s="1"/>
  <c r="BH345" i="1"/>
  <c r="BH360" i="1"/>
  <c r="BI359" i="1"/>
  <c r="BG346" i="1"/>
  <c r="BG337" i="1" s="1"/>
  <c r="BG338" i="1" s="1"/>
  <c r="BI379" i="1"/>
  <c r="BH386" i="1"/>
  <c r="BI377" i="1"/>
  <c r="BI372" i="1"/>
  <c r="BI375" i="1"/>
  <c r="BI374" i="1"/>
  <c r="BI370" i="1"/>
  <c r="BI368" i="1"/>
  <c r="BI369" i="1"/>
  <c r="BI390" i="1"/>
  <c r="BI391" i="1" s="1"/>
  <c r="BI400" i="1"/>
  <c r="BI343" i="1"/>
  <c r="BI344" i="1" s="1"/>
  <c r="BI336" i="1"/>
  <c r="BI384" i="1"/>
  <c r="BI382" i="1"/>
  <c r="BI392" i="1"/>
  <c r="BI393" i="1" s="1"/>
  <c r="BI380" i="1"/>
  <c r="BI373" i="1"/>
  <c r="BI371" i="1"/>
  <c r="BI396" i="1"/>
  <c r="BI397" i="1" s="1"/>
  <c r="BI398" i="1"/>
  <c r="BI399" i="1" s="1"/>
  <c r="BI383" i="1"/>
  <c r="BI378" i="1"/>
  <c r="BI381" i="1"/>
  <c r="BI376" i="1"/>
  <c r="BH385" i="1"/>
  <c r="BI349" i="1"/>
  <c r="BI367" i="1"/>
  <c r="BH403" i="1"/>
  <c r="BH402" i="1"/>
  <c r="BJ392" i="1"/>
  <c r="BJ393" i="1" s="1"/>
  <c r="BJ390" i="1"/>
  <c r="BJ396" i="1"/>
  <c r="BJ397" i="1" s="1"/>
  <c r="BJ400" i="1"/>
  <c r="BJ368" i="1"/>
  <c r="BJ370" i="1"/>
  <c r="BJ372" i="1"/>
  <c r="BJ374" i="1"/>
  <c r="BJ376" i="1"/>
  <c r="BJ378" i="1"/>
  <c r="BJ380" i="1"/>
  <c r="BJ382" i="1"/>
  <c r="BJ384" i="1"/>
  <c r="BJ394" i="1"/>
  <c r="BJ395" i="1" s="1"/>
  <c r="BJ398" i="1"/>
  <c r="BJ399" i="1" s="1"/>
  <c r="BJ367" i="1"/>
  <c r="BJ369" i="1"/>
  <c r="BJ371" i="1"/>
  <c r="BJ373" i="1"/>
  <c r="BJ375" i="1"/>
  <c r="BJ377" i="1"/>
  <c r="BJ379" i="1"/>
  <c r="BJ381" i="1"/>
  <c r="BJ383" i="1"/>
  <c r="BI341" i="1"/>
  <c r="BI340" i="1"/>
  <c r="BJ349" i="1"/>
  <c r="BJ336" i="1"/>
  <c r="BJ343" i="1"/>
  <c r="BI342" i="1" l="1"/>
  <c r="BJ359" i="1"/>
  <c r="BJ360" i="1" s="1"/>
  <c r="BI360" i="1"/>
  <c r="BI345" i="1"/>
  <c r="BI350" i="1"/>
  <c r="BI347" i="1"/>
  <c r="BI348" i="1" s="1"/>
  <c r="BH346" i="1"/>
  <c r="BH337" i="1" s="1"/>
  <c r="BH338" i="1" s="1"/>
  <c r="BI386" i="1"/>
  <c r="BI385" i="1"/>
  <c r="BI403" i="1"/>
  <c r="BI402" i="1"/>
  <c r="BJ385" i="1"/>
  <c r="BJ386" i="1"/>
  <c r="BJ340" i="1"/>
  <c r="BJ341" i="1"/>
  <c r="BJ342" i="1" s="1"/>
  <c r="BJ391" i="1"/>
  <c r="BJ403" i="1" s="1"/>
  <c r="BJ402" i="1"/>
  <c r="BI346" i="1" l="1"/>
  <c r="BI337" i="1" s="1"/>
  <c r="BI338" i="1" s="1"/>
  <c r="BJ350" i="1"/>
  <c r="BJ347" i="1"/>
  <c r="BJ348" i="1" s="1"/>
  <c r="BJ345" i="1"/>
  <c r="BK350" i="1"/>
  <c r="BK347" i="1"/>
  <c r="BK348" i="1" s="1"/>
  <c r="BK346" i="1" s="1"/>
  <c r="BK342" i="1"/>
  <c r="BK344" i="1"/>
  <c r="BJ344" i="1"/>
  <c r="BJ346" i="1" l="1"/>
  <c r="BJ337" i="1" s="1"/>
  <c r="BJ338" i="1" s="1"/>
  <c r="BK337" i="1"/>
  <c r="BK338" i="1" s="1"/>
</calcChain>
</file>

<file path=xl/sharedStrings.xml><?xml version="1.0" encoding="utf-8"?>
<sst xmlns="http://schemas.openxmlformats.org/spreadsheetml/2006/main" count="877" uniqueCount="651">
  <si>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</si>
  <si>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</si>
  <si>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</si>
  <si>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</si>
  <si>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</si>
  <si>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</si>
  <si>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</si>
  <si>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</si>
  <si>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</si>
  <si>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</si>
  <si>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</si>
  <si>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</si>
  <si>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</si>
  <si>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</si>
  <si>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</si>
  <si>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</si>
  <si>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</si>
  <si>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</si>
  <si>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</si>
  <si>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</si>
  <si>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</si>
  <si>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</si>
  <si>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</si>
  <si>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</si>
  <si>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</si>
  <si>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</si>
  <si>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</si>
  <si>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</si>
  <si>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</si>
  <si>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</si>
  <si>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</si>
  <si>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</si>
  <si>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</si>
  <si>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</si>
  <si>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</si>
  <si>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</si>
  <si>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</si>
  <si>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</si>
  <si>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</si>
  <si>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</si>
  <si>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</si>
  <si>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</si>
  <si>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</si>
  <si>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</si>
  <si>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</si>
  <si>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</si>
  <si>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</si>
  <si>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</si>
  <si>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</si>
  <si>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</si>
  <si>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</si>
  <si>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</si>
  <si>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</si>
  <si>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</si>
  <si>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</si>
  <si>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</si>
  <si>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</si>
  <si>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</si>
  <si>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</si>
  <si>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</si>
  <si>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</si>
  <si>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</si>
  <si>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</si>
  <si>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</si>
  <si>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</si>
  <si>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</si>
  <si>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</si>
  <si>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</si>
  <si>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</si>
  <si>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</si>
  <si>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</si>
  <si>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</si>
  <si>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</si>
  <si>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</si>
  <si>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</si>
  <si>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</si>
  <si>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</si>
  <si>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</si>
  <si>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</si>
  <si>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</si>
  <si>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</si>
  <si>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</si>
  <si>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</si>
  <si>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</si>
  <si>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</si>
  <si>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</si>
  <si>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</si>
  <si>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</si>
  <si>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</si>
  <si>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</si>
  <si>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</si>
  <si>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</si>
  <si>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</si>
  <si>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</si>
  <si>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</si>
  <si>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</si>
  <si>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</si>
  <si>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</si>
  <si>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</si>
  <si>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</si>
  <si>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</si>
  <si>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</si>
  <si>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</si>
  <si>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</si>
  <si>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</si>
  <si>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</si>
  <si>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</si>
  <si>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</si>
  <si>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</si>
  <si>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</si>
  <si>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</si>
  <si>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</si>
  <si>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</si>
  <si>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</si>
  <si>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</si>
  <si>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</si>
  <si>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</si>
  <si>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</si>
  <si>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</si>
  <si>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</si>
  <si>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</si>
  <si>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</si>
  <si>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</si>
  <si>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</si>
  <si>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</si>
  <si>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</si>
  <si>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</si>
  <si>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</si>
  <si>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</si>
  <si>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</si>
  <si>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</si>
  <si>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</si>
  <si>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</si>
  <si>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</si>
  <si>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</si>
  <si>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</si>
  <si>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</si>
  <si>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</si>
  <si>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</si>
  <si>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</si>
  <si>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</si>
  <si>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</si>
  <si>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</si>
  <si>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</si>
  <si>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</si>
  <si>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</si>
  <si>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</si>
  <si>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</si>
  <si>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</si>
  <si>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</si>
  <si>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</si>
  <si>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</si>
  <si>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</si>
  <si>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</si>
  <si>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</si>
  <si>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</si>
  <si>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</si>
  <si>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</si>
  <si>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</si>
  <si>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</si>
  <si>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</si>
  <si>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</si>
  <si>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</si>
  <si>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</si>
  <si>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</si>
  <si>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</si>
  <si>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</si>
  <si>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</si>
  <si>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</si>
  <si>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</si>
  <si>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</si>
  <si>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Travel from the European Schengen Area blocked</t>
  </si>
  <si>
    <t>Canada travel restricted</t>
  </si>
  <si>
    <t>Mexico travel restricted</t>
  </si>
  <si>
    <t>UK and Ireland travel restricted</t>
  </si>
  <si>
    <t>Iran travel blocked</t>
  </si>
  <si>
    <t>State of Emergency declared by Trump</t>
  </si>
  <si>
    <t>Public Hospital Beds in US / 1,000</t>
  </si>
  <si>
    <t>ICU Beds in US / 100,000</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</si>
  <si>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</si>
  <si>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</si>
  <si>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</si>
  <si>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</si>
  <si>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</si>
  <si>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</si>
  <si>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</si>
  <si>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</si>
  <si>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</si>
  <si>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</si>
  <si>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</si>
  <si>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</si>
  <si>
    <t>CDC begins to issue travel advisory warnings to China</t>
  </si>
  <si>
    <t>CDC states that they will begin to screen travellers from Wuhan</t>
  </si>
  <si>
    <t>First US confirmed case in Washington state</t>
  </si>
  <si>
    <t>Trump states "totally under control. It's one person coming in from China, and we have it under control. It's going to be just fine."</t>
  </si>
  <si>
    <t>US coronavirus taskforce created</t>
  </si>
  <si>
    <t>In response to stockmarket falls, Trump tweets that the virus "is very much under control" and the stock market "starting to look very good to me!"</t>
  </si>
  <si>
    <t>Trump issues executive order - China travel restricted</t>
  </si>
  <si>
    <t>FDA eases testing guidelines</t>
  </si>
  <si>
    <t>House passes $8.3bn emerg bill, Trump incorrectly criticises Obama admin for not doing anything about Swine Flu on Fox News</t>
  </si>
  <si>
    <t>Trump asks "everyone to work from home, and limit social gatherings to no more than 10 people", also stating that he has "always known this is a real, this is a pandemic.  I've felt it was a pandemic long before it was called a pandemic."</t>
  </si>
  <si>
    <t>WHO declares coronavirus a pandemic</t>
  </si>
  <si>
    <t>Health Secretary, Alex Azar briefs Trump on the coronavirus threat, during which Trump spent much of the conversation talking about vaping</t>
  </si>
  <si>
    <t>Joe Grogan, head of WH domestic policy council, warns WH to take the virus seriously or it could cost the president his re-election</t>
  </si>
  <si>
    <t>Economic adivsor, Peter Navarro warns the NSC in a memo that the virus could kill half a million Americans and cause a $5.7tn hit to the economy</t>
  </si>
  <si>
    <t>Azar again warns Trump of the looming threat which Trump dismisses as "alarmist" and tweets "Only 5 people in US, all in good recovery"</t>
  </si>
  <si>
    <t>Jan - Feb</t>
  </si>
  <si>
    <t>US Intelligence agencies file classified reports warning about global destabilisation from the pending coronavirus pandemic</t>
  </si>
  <si>
    <t>WH coronavirus taskforce models pandemic response and concludes that aggressive social distancing is necessary</t>
  </si>
  <si>
    <t>Economics Advisor, Navarro warns that a Covid-19 pandemic could infect as many as 100m Americans with a loss of 1-2m lives</t>
  </si>
  <si>
    <t>Director of the Center for the National Center for Immunization and Respiratory Diseases, Nancy Messonnier says "Ultimately, we expect we will see community spread in this country" and "disruption to everyday life may be severe. But these are things that people need to start thinking about now."</t>
  </si>
  <si>
    <t>Trump while in India states "is very well under control in our country", complains to Azar that Messonnier is scaring the stock market, and tweets "doing a GREAT job of handling Coronavirus including the very early closing of our borders… It was opposed by the Dems..."</t>
  </si>
  <si>
    <t>Director of the National Economics Council, Larry Kudlow states "We have contained this, I won't say airtight, but it's pretty close to airtight"</t>
  </si>
  <si>
    <t>WH states US will have tested 1m people by that week, and then 4m tests per week, by 12/3 the CDC had only completed 4,000 tests</t>
  </si>
  <si>
    <t>Trump states "When people need a test, they can get a test. When the professionals need a test, when they need tests for people, they can get the test. It’s gone really well."</t>
  </si>
  <si>
    <t>Dr Anthony Fauci tells Congress that there is not sufficient testing or capacity to do so "That is a failing. Let's admit it."  Trump states that there are a "million tests out now.  If you go to the right agency, if you go to the right area, you get the test"</t>
  </si>
  <si>
    <t>Trump warns against those without symptoms being tested, "It's totally unecessary.  This will pass". He also states "We’ve been in discussions with pharmacies and retailers to make drive-through tests available in the critical locations identified by public health professionals" and announces a Google site under development but that was not correct.</t>
  </si>
  <si>
    <t>Trump states "I don't take responsibility at all"</t>
  </si>
  <si>
    <t>CDC begins screening arrivals of travellers from Wuhan at 3 airports</t>
  </si>
  <si>
    <t>Trump announces ban on travel from Europe, incorrectly suggesting also cargo would be subject to the ban and that health insurance providers to waive all co-pays for coronavirus treatment, the waiver only applied to the test, not the treatment</t>
  </si>
  <si>
    <t>Trump signs $2.2tn emergency spending bill</t>
  </si>
  <si>
    <t>Trump recommends people wear non-medical masks but states "I don't think I'm going to be doing it"</t>
  </si>
  <si>
    <t>Fauci states that masks could help limit spread, but would not provide the protection people hoped</t>
  </si>
  <si>
    <t>Trump pushes hydroxychloroquine again while Fauci states that the data is at best suggestive and can't definitely say it works</t>
  </si>
  <si>
    <t>Trump claims total authority over governors on opening back up, and retweets a tweet containing #FireFauci after Fauci admitted that if controls had been introduced earlier, more lives could have been saved</t>
  </si>
  <si>
    <t>WHO begins ongoing briefings to US and other national govts</t>
  </si>
  <si>
    <t>WHO distributes guidance to member states for their own risk assessments and planning</t>
  </si>
  <si>
    <t>Trump tweets "China has been working very hard to contain the coronavirus… The United States greatly appreciates their efforts and transparency"</t>
  </si>
  <si>
    <t>WHO team finally permitted to visit Wuhan after obstruction by the Chinese govt</t>
  </si>
  <si>
    <t>Early Feb</t>
  </si>
  <si>
    <t>WHO distributes a Covid-19 test worldwide, but CDC chose to not use this test but to develop their own which proved faulty, with the US not having any testing capability/capacity until the end of Feb with limited availability of testing kits</t>
  </si>
  <si>
    <t>WHO confirms human to human transmission and the global risk was high following a brief field visit to Wuhan</t>
  </si>
  <si>
    <t>Trump claims COVID-19 has gotten too brilliant for antibiotics to work against the virus, not understanding the difference between virus' and bacteria</t>
  </si>
  <si>
    <t>Chinese scientists publicly release the genetic sequence of Covid-19</t>
  </si>
  <si>
    <t>WHO declares a global health emergency while praising China for its efforts to contain the virus including its commitment to transparency and discouraging again the closing down of borders</t>
  </si>
  <si>
    <t>Trump at the CDC calls the pandemic "an unforeseen problem. What a problem, came out of nowhere." Stockmarkets begin to plunge in earnest</t>
  </si>
  <si>
    <t>Trump tweets "cure can't be worse than the problem itself" and states he would "love to have the country opened up, and just raring to go by Easter" and claimed that he instituted a travel ban against everyone’s wishes and that “nobody,” not even doctors, wanted him to restrict travel. But “probably tens of thousands” of people would be dead now if he hadn’t done so</t>
  </si>
  <si>
    <t>Biden tweets “We are in the midst of a crisis with the coronavirus. We need to lead the way with science — not Donald Trump’s record of hysteria, xenophobia, and fear-mongering. He is the worst possible person to lead our country through a global health emergency.”, which Trump then uses multiple times to claim that Biden had called him racist for stopping people arriving from China</t>
  </si>
  <si>
    <t>Biden states that the United States should not be overly dismissive of the outbreak, “but neither should we panic or fall back on xenophobia, labeling COVID-19 a foreign virus does not displace accountability for the misjudgments that have been taken thus far by the Trump administration.”</t>
  </si>
  <si>
    <t>Trump tweeted: “I always treated the Chinese Virus very seriously, and have done a very good job from the beginning, including my very early decision to close the ‘borders’ from China - against the wishes of almost all. Many lives were saved. The Fake News new narrative is disgraceful &amp; false!”. Biden replied the same day: “Stop the xenophobic fear-mongering. Be honest. Take responsibility. Do your job.”</t>
  </si>
  <si>
    <t>Azar declares a public health emergency</t>
  </si>
  <si>
    <t>Biden accuses Trump of xenophobia in dealing with the coronavirus pandemic at a rally</t>
  </si>
  <si>
    <t>Senate briefed by WH, expresses concern that WH not taking the threat seriously enough, while three Democrats at a House subcommittee questioned the travel restrictions with China</t>
  </si>
  <si>
    <t>Trump announces a "travel ban" on entry to the US from foreign nationals who recently visited China, which Trump claims he decided against advice of "experts", but Azar states it was based on a uniform recommendation from experts in his department.  Trump also claims he was the first country to do so, when some 38-45 countries had already done so.</t>
  </si>
  <si>
    <t>WHO fails to acknowledge Taiwan in a video call with a HK journalist, subsequently used as one of the reasons to justify accusation that WHO is too heavily influenced by China</t>
  </si>
  <si>
    <t>Trump retweets a post referring to the virus as the China Virus to justify the wall with Mexico, ramping up the racialisation of the epidemic</t>
  </si>
  <si>
    <t>Pompeo refers to the virus as the Wuhan Virus, ratcheting up the racialisation from the Republican party in relation to the pandemic</t>
  </si>
  <si>
    <t>When Trump was asked what he wanted state governors to do in their attemps to source medical supplies, Trump said "very simple: I want them to be appreciative" singling out 2 Democratic governors for not being appreciative enough of him and also saying "when they’re not appreciative to me, they’re not appreciative to the Army Corps, they’re not appreciative to FEMA, it’s not right," setting up a ongoing public dispute over aid provisioning to Michigan and Washington with the implication that Trump would not provide Federal assistance until they became more "appreciative" of him.  "If they don't treat you right, I don't call," echoing his approach with Ukraine that got him impeached, seeking praise before unlocking aid.</t>
  </si>
  <si>
    <t>Washington Post revealed a visit by US diplomatic officials to the Wuhan Institute of Virology in 2018 found lack of training and safety procedures in the lab and recommended that the US provide assistance to improve standards.  It is unclear if this was ever done.</t>
  </si>
  <si>
    <t>Trump cited the theory that the coronavirus was accidentally leaked from China's Wuhan Institute of Virology, despite overwhelming weight of scientific research pointing to it originally coming from animals, prompting responses from WHO and China and many science researchers and journals such as The Lancet</t>
  </si>
  <si>
    <t>Trump falsely states that he "inherited a broken test" for COVID-19 (COVID-19 is a new virus, not one that had occurred during previous presidencies), tells nation to prepare for hard days</t>
  </si>
  <si>
    <t>In response to protests and Fox News Trump further attacks Democratic governors tweeting: "LIBERATE MINNESOTA", "LIBERATE MICHIGAN", "LIBERATE VIRGINIA and save your great 2nd Amendment. It is under siege!". Trump stated "These are people expressing their views, I see where they are and I see the way they're working.  They seem to be very responsible people to me, but they've been treated a little bit rough"</t>
  </si>
  <si>
    <t>Trump tweets "Tell the Democrat Governors that “Mutiny On The Bounty” was one of my all time favorite movies. A good old fashioned mutiny every now and then is an exciting and invigorating thing to watch, especially when the mutineers need so much from the Captain. Too easy!".  Death threat to governors for not praising him?</t>
  </si>
  <si>
    <t>Zhao Lijian, a Chinese foreign ministry official tweets a conspiracy theory that Coronavirus originated in US soldiers visiting China in October, presumably a response to the racialisation of the virus by Republicans</t>
  </si>
  <si>
    <t>Trump announces halt to funding of WHO stating that the WHO had "failed in its basic duty and it must be held accountable", mainly based on WHO stating early Jan that China had not found human to human transmission at that point in time, after Taiwan had apparently told WHO otherwise.  There is no evidence that Taiwan had conveyed this information at that point in time.</t>
  </si>
  <si>
    <t>WHO raises first alert over Wuhan outbreak, WHO states that the information they have from China showed there was no evidence of significant human to human transmission</t>
  </si>
  <si>
    <t>Trump warned that Beijing would face consequences if it was "knowingly responsible" for the spread of Covid-19 but he didn’t say what sort of consequences he had in mind. Trump questioned whether it was a "mistake that got out of control" or a crisis that was started deliberately in China</t>
  </si>
  <si>
    <t>Dr Li dies from coronavirus</t>
  </si>
  <si>
    <t>In December, Dr Li was accused of spreading rumours by Chinese police and summoned to a government Public Security Bureau, where he was warned that he should not continue to make comments that "disturb the social order". "We solemnly warn you: If you keep being stubborn, with such impertinence, and continue this illegal activity, you will be brought to justice – is that understood?" an official letter given to the doctor said.</t>
  </si>
  <si>
    <t>Ophthalmologist Dr Li Wenliang notices some asymptomatic flu symptoms that are SARS like and asks other doctors on WeChat social media in a private message if they have noticed these cases as well and to be alert and protect themselves.  He is one of 8 whistleblowers who tried to send warnings to other medics in Dec.</t>
  </si>
  <si>
    <t>Dr Li admitted to intensive care</t>
  </si>
  <si>
    <t>Dr Li tests positive to coronavirus following being tested several times through January, he was diagnosed with the infection 1/2/2020</t>
  </si>
  <si>
    <t>Reports that China is investigating respiratory illness in Wuhan after Taiwan sent an alert to the WHO in Geneva and began quarantining arrivals from China.  When WHO forwarded the alert to China, the Chinese regime told the WHO there was no problem</t>
  </si>
  <si>
    <t>Dr Li contracts coronavirus</t>
  </si>
  <si>
    <t>New cases peaked 4/4</t>
  </si>
  <si>
    <t>US Dept of Health and Human Services (HHS) extended screening of international arrivals from China to 20 U.S. airports</t>
  </si>
  <si>
    <t>US and China sign phase one trade deal, potentially complicating Trump's following actions with respect to coronavirus and China</t>
  </si>
  <si>
    <t>Trump announces that VP Mike Pence to coordinate US govt response to the coronavirus outbreak, both men stating that the risk to American people remained very low</t>
  </si>
  <si>
    <t>Trump states "It's going to disappear, One day it's like a miracle, it will disappear", and that researchers were rapidly developing a vaccine</t>
  </si>
  <si>
    <t>WHO states that a vaccine for coronavirus would be available in 18 months</t>
  </si>
  <si>
    <t>Trump states that "anyone who wants a test can get one", but this was a false claim</t>
  </si>
  <si>
    <t>Trump promises a vaccine would be available soon "Now they have it, they have studied it, they know very much, in fact, we're very close to a vaccine", meanwhile Dr Fauci estimated that a vaccine would be at least 12 - 18 months away</t>
  </si>
  <si>
    <t>Trump proposes huge cuts to both the CDC and the National Institutes of Health</t>
  </si>
  <si>
    <t>Trump fires the govt's entire pandemic response chain of command, including the WH mgmt infrastructure</t>
  </si>
  <si>
    <t>Trump's 2018 budget requests a cut of $1.2 billion from the CDC</t>
  </si>
  <si>
    <t>Trump claims "You can call it a germ, you can call it a flu, you can call it a virus, you know you can call it many different names. I’m not sure anybody even knows what it is"</t>
  </si>
  <si>
    <t>Trump gets corrected in front of cameras in relation to vaccine timelines and asked whether the flu vaccine could be used to prevent the coronavirus</t>
  </si>
  <si>
    <t>Trump states "We have a very little problem in this country at this moment"</t>
  </si>
  <si>
    <t>Trump states "Now the virus that we’re talking about, a lot of people think that goes away in April, with the heat".  Robert Redfield, director of Centres of Disease Control and Prevention responded "It looks like this virus is probably with us beyond this season and beyond this year"</t>
  </si>
  <si>
    <t>Trump at a rally "The Democrats are politicizing the coronavirus.  This is their new hoax"</t>
  </si>
  <si>
    <t>Trump states that a vaccine would be available very quickly and very rapidly</t>
  </si>
  <si>
    <t>Trump at a press conference, "On average, you lose from 26,000 to 70,000 or so, and even some cases more, from the flu. We lose – we have deaths of that per year, and here, we’re talking about a much smaller range."</t>
  </si>
  <si>
    <t>Trump states "We pretty much shut it down coming in from China.  It's going to be fine."</t>
  </si>
  <si>
    <t>Trump "I like this stuff. I really get it. People are surprised that I understand it. Every one of these doctors said, 'How do you know so much about this?' Maybe I have a natural ability. Maybe I should have done that instead of running for president."</t>
  </si>
  <si>
    <t>Trump "I don't need to have the numbers double b/c of 1 ship that wasn't our fault" in response to allowing a cruise ship to dock with coronavirus infected passengers/crew</t>
  </si>
  <si>
    <t>Trump "We have a perfectly coordinated and fine tuned plan at the White House for our attack on Coronavirus"</t>
  </si>
  <si>
    <t>Trump "It will go away. Just stay calm. It will go away."</t>
  </si>
  <si>
    <t>Trump begins pushing hydroxychloroquine and azithromycin, media outlets point out that Trump has shares in a pharmaceutical that makes hydroxychloroquine, this after Trump had previously stated that he does not do shares, only hotels</t>
  </si>
  <si>
    <t>Trump falsely states "We have one of the most successful, if you can call it, mortality rates. Our mortality rate remains roughly half that of other countries, one of the lowest in any other country in the world... One person is too many, but we’ve tested more than any other country in the world, put together" - wrong on both counts. Dr Birx also falsely stated that the US has one of the lowest mortality rates worldwide.</t>
  </si>
  <si>
    <t>Deaths peaked 21/4</t>
  </si>
  <si>
    <t>Hydroxychloroquine and azithromycin in initial trial results from France and US show either no positive effect, or even a negative effect. Results yet to be peer reviewed but advice is now not to use in treatment regimes of COVID-19. Scientists in Brazil had aborted a study of the drug earlier in April after heart rhythm problems developed in 1/4 of patients.</t>
  </si>
  <si>
    <t>Trump "We may not even have corona come back, and if it did, it would just be in pockets and embers".  Fauci stated that he was "convinced we will have coronavirus in the fall"</t>
  </si>
  <si>
    <t>After attacking Democrat governors for not opening up sooner, Trump criticizes a Republican governor for his decision to begin reopening Friday. "I told the governor of Georgia, Brian Kemp, that I disagree strongly with his decision to open certain facilities which are in violation of the phase one guidelines for the incredible people of Georgia they're incredible people. It's just too soon. I think it's too soon. Safety has to predominate. I told the governor very simply that I disagree with his decision, but he has to do what he thinks is right."</t>
  </si>
  <si>
    <t>AG Bill Barr "These are unprecedented burdens on civil liberties right now. You know, the idea that you have to stay in your house is disturbingly close to house arrest… We’re looking carefully at a number of these rules that are being put into place. And if we think one goes too far, we initially try to jawbone the governors into rolling them back or adjusting them."</t>
  </si>
  <si>
    <t>Trump backs down on his total authority claim, outlining a 3 step process to open states back up again and stating that it will be up to the states when and how they open back up, wanting some states to be open again before May 1 with his "Open Up America Again" slogan/plan</t>
  </si>
  <si>
    <t xml:space="preserve">An Arizona couple are admitted to hospital after consuming chloroquine phosphate used to clean fish tanks as she trusted what she had thought was the president's advice to avoid getting sick, "Trump kept saying it was basically pretty much a cure", although they were Democrats. The 68 yo male died and the 61 yo female survived. </t>
  </si>
  <si>
    <t>WHO published advice recommending no international restrictions, stating that restricting the movement of people and goods during public health emergencies is ineffective in most situations and can hide actual movements.</t>
  </si>
  <si>
    <t>First Detected Infection in US</t>
  </si>
  <si>
    <t>First identified death from coronavirus 29/2 in Washington state</t>
  </si>
  <si>
    <t>23/4 blood samples from 3,300 volunteers in Santa Clara County showed actual cases may be more than 50 times confirmed cases</t>
  </si>
  <si>
    <t>New cases peaked 24/4</t>
  </si>
  <si>
    <t>Trump states that he can't understand why there has been an increase in people asking about using disenfectants for treating coronavirus and when asked if he took responsibility, he responded "no, I don't."</t>
  </si>
  <si>
    <t>Trump states in reference to the initial trial results of Hydroxychloroquine and azithromycin "Obviously, there have been some very good reports and perhaps this one is not a good report. But we'll be looking at it".</t>
  </si>
  <si>
    <t>Trump says that states need to work out competing bids for medical equipment among themselves…  "We're a backup, we’re not an ordering clerk, we're a backup, and we've done an unbelievable job"</t>
  </si>
  <si>
    <t>Trump tweets that he will impose a temporary immigration ban for 60 days via executive order in bid to tackle coronavirus and protect American jobs, what was signed a couple of days later only affected about 1/3 of green card applications,</t>
  </si>
  <si>
    <t>Trump "So supposing we hit the body with a tremendous, whether it’s ultraviolet or just very powerful light and I think you said that hasn’t been checked but you’re going to test it. And then I said supposing you brought the light inside the body, which you can do either through the skin or in some other way. And I think you’re going to test that too? I would like you to speak to the medical doctors to see if there’s any way that you can apply light and heat to cure. And then I see the disinfectant where it knocks it out in a minute, one minute! And is there a way we can do something, by an injection inside or almost a cleaning? Because you see it gets in the lungs and it does a tremendous number on the lungs, so it’d be interesting to check that. So, that you’re going to have to use medical doctors with, but it sounds interesting to me."  He subsequently claimed he was being sarcastic to the press to see what would happen.</t>
  </si>
  <si>
    <t>A 57 yo female in California died on 6/2, following postmortem results released 23/4 showing she had a COVID-19 infection at the time of death, indicating that infections had been present in Jan earlier than previously thought</t>
  </si>
  <si>
    <t>States begin reporting increase in enquiries to COVID-19 support services regarding the use of disenfectants and UV light for treating COVID-19 infections</t>
  </si>
  <si>
    <t>Trump suggests that he may seek damages from China over the coronavirus outbreak, and following a German newspaper editorial calling on China to pay Germany several million in reparations because of economic damage, Trump said "We are talking about a lot more money than Germany's talking about. We haven't determined the final amount yet. It's very substantial."</t>
  </si>
  <si>
    <t>Trump tweets "Just finished a very good conversation with President Xi of China. Discussed in great detail the CoronaVirus that is ravaging large parts of our Planet. China has been through much &amp; has developed a strong understanding of the Virus. We are working closely together. Much respect!"</t>
  </si>
  <si>
    <t>It emerges that Trump owes a Chinese state-owned bank tens of millions which comes due in the next term, complicating matters for Trump in attacking either China or Biden's dealings with China</t>
  </si>
  <si>
    <t>WHO director-general Tedros Adhanom Ghebreyesus stated that the agency had sounded the highest level of alarm over the novel coronavirus early on, declaring a "Public Health Emergency of International Concern" on January 30, when there were no deaths and only 82 cases registered outside China.  "We advised the whole world to implement a comprehensive public health approach, and we said find, test, isolate, and do contact tracing. You can check for yourselves: countries who followed that are in a better position than others. This is fact."</t>
  </si>
  <si>
    <t>The WHO warned that there is no evidence that people who have recovered from COVID-19 and have antibodies are protected from a second coronavirus infection, warning against coutries issueing "immunity passports" or "risk-free certificates" to people who have been infected.</t>
  </si>
  <si>
    <t>World leaders hold a virtual meeting to work on a global initiate to accelerate the fight on COVID-19  coordinated by the WHO to speed up the development of improved tests, treatment protocols and medication trials, and vaccination development.  The US did not participate and has flagged that it will go it alone.</t>
  </si>
  <si>
    <t>Trump states in an interview "China will do anything they can to have me lose this race", referring to the Nov presidential elections, citing China's handling of the COVID-19 crises as proof. In a WH presentation the following day, Trump implies that the coronavirus may have been used by China to wreck the US economy and a trade deal between the two countries.</t>
  </si>
  <si>
    <t>Trump claims that he has seen evidence that links the novel coronavirus to the Wuhan Institute of Virology, but claimed that he's not allowed to say what the evidence is.</t>
  </si>
  <si>
    <t>WH announces operation warp speed, a program to accelerate the development of a vaccine with a target for mass deployment by January, a timeline that would be unprecedented in vaccine development timelines.  The US taxpayer to pick up the bill, rather than drug companies.</t>
  </si>
  <si>
    <t>The office of the director of national intelligence said that the intelligence community does not believe coronavirus was man made.</t>
  </si>
  <si>
    <t>Pence visits the Mayo clinic without a mask, despite being informed that it was a requirement for all visitors.  Pence claims that as he did not have an infection, he did not need to wear a mask and wanted people to see his eys, sparking a backlash from healthcare workers and the press.  His wife later claimed that they had not been told.  Pence later threatens retaliatory action against a reporter in the party who provided evidence that everyone had been instructed to wear masks prior to attending.</t>
  </si>
  <si>
    <t>Rick Bright, director of Biomedical Advanced Research and Development Authority  (BARDA) and deputy assistant secretary for preparedness and response has been ousted according to him for not promoting hydroxychloroquine.  He was transferred to a post at the National Institutes of Health.</t>
  </si>
  <si>
    <t>Right wing protests begin in some states against lockdown laws, ironically with many of the protestors wearing some form of PPE</t>
  </si>
  <si>
    <t>More than half of the US states are to begin lifting restrictions by the end of the week, even though no states have as yet met the original criteria set by the WH for lifting restrictions.  In Michigan, protestors, some armed and wearing bullet proof vests, many with some form of PPE (obviously oblivious to the irony), entered the state Capitol building.</t>
  </si>
  <si>
    <t>Trump "And so, if we could hold that down, as we’re saying, to 100,000 – it’s a horrible number, maybe even less, but to 100,000, so we have between 100 [thousand] and 200,000 – we altogether have done a very good job", extends shutdown for an additional month, predicts peak to occur in 2 weeks, states "We can expect by June 1st we will be well on our way to recovery," and accuses health care workers of stealing masks without providing any evidence to support the accusation</t>
  </si>
  <si>
    <t>Trump "Our country wasn’t built to be shut down.  This is not a country that was built for this.  It was not built to be shut down ... Our country was at its strongest financial point.  We’ve never had an economy like we had just a few weeks ago, and then it got hit with something that nobody could have ever thought possible ... People get tremendous anxiety and depression, and you have suicides over things like this when you have terrible economies.  You have death.  Probably and — I mean, definitely would be in far greater numbers than the numbers that we’re talking about with regard to the virus."  The US has 45,000 - 50,000 suicides per year, COVID-19 deaths hit that by mid-late April.  There were more than 10,000 deaths across Europe and North Ameria attributed to the GFC.  Even adding another 10,000 to this, the US had 60,000 deaths to coronavirus by the end of April.</t>
  </si>
  <si>
    <t>Jarrod Kushner has been made the WH pointman of the coronavirus response in a vaguely defined role working with the Federal Emergency Management Agency to oversee distribution of medical supplies and to assist Pence and "reinvigorate" the team struggling with the dire challenge of battling the pandemic.  From JK "The notion of the federal stockpile was it's supposed to be our stockpile. It's not supposed to be state stockpiles that they then use."</t>
  </si>
  <si>
    <t>Trump contradicts public health expert estimates of death rate of COVID-19 of confirmed cases as less than 1% based on a hunch, and suggests that those infected can still go to work, comparing it with the flu and referring to it as the corona flu</t>
  </si>
  <si>
    <t>Trump tweets "Gallup just gave us the highest rating ever for the way we are handling the CoronaVirus situation. The April 2009-10 Swine Flu, where nearly 13,000 people died in the U.S., was poorly handled. Ask MSDNC &amp; lightweight Washington failure @RonaldKlain, who the President was then?".  Deaths from COVID-19 hit 13,000 6/4</t>
  </si>
  <si>
    <t>Trump "The Fake News Media &amp; their partner, the Democrat Party, is doing everything within its semi-considerable power to inflame the Coronavirus situation"</t>
  </si>
  <si>
    <t>Projections less meaningful as rates begin to decrease</t>
  </si>
  <si>
    <t>Trump states that he would wear a mask if it was an environment that required a mask, but while touring a mask making factory where instructions everywhere were to wear a mask and all the staff were wearing masks, he only wore goggles, claiming Honeywell had told the WH that Trump didn't need to wear a mask.</t>
  </si>
  <si>
    <t>Pence flags that the coronavirus taskforce would be winding up by 25/5, to be replaced by a transition/opening up taskforce</t>
  </si>
  <si>
    <t>Rick Bright lodges a whistleblower complaint against the WH, painting the WH response to the novel coronavirus in an unfavourable light</t>
  </si>
  <si>
    <t>A personal valet to Trump, a member of the US Navy, has tested positive to coronavirus</t>
  </si>
  <si>
    <t>Katie Miller, Pence's press secretary has tested positive to coronavirus. Her husband, Stephen Miller is a senior advisor to Trump.</t>
  </si>
  <si>
    <t>The Office of Special Counsel has determined that there were reasonable grounds to believe Rick Bright was removed for reliatory reasons, and will recommend that he is reinstated to the Department of Health and Human Services while it investigates.</t>
  </si>
  <si>
    <t>Trump confirms that he is pushing ahead with attempts to abolish health care, without promising any details of what would go in its place.</t>
  </si>
  <si>
    <t>US unemployment hits 14.7%, the steepest plunge since the great depression, coming off a five decade low of 3.5% in Feb, and unemployment figures not seen since 1982.  Underemployment hits 22.8%, a record high.</t>
  </si>
  <si>
    <t>Jared Kushner "We're on the other side of the medical aspect of this, and I think that we've achieved all the different milestones that are needed. The federal government rose to the challenge, and this is a great success story. And I think that that's really, you know, what needs to be told. May will be a transition month. I think you will see by June, a lot of the country should be back to normal, and the hope is that by July the country is really rocking again. The eternal lockdown crowd can make jokes on late-night television but the reality is that the data's on our side," as the death toll surpasses 60,000 and the rate of new cases has remained fairly steady for the last month</t>
  </si>
  <si>
    <t xml:space="preserve"> Trump states that "testing isn't necessary" and is an imperfect guide and makes the United States "look bad".  Although he and Pence will in the coming days start to be tested daily themselves.  Birx in response states in an interview when asked about testing, states the need for testing and that such efforts are essential and should be stepped up.</t>
  </si>
  <si>
    <t>Members of the Coronavirus Taskforce, including Fauci and Pence self quarantine</t>
  </si>
  <si>
    <t>Trump tweeted: "We are getting great marks for the handling of the CoronaVirus pandemic, especially the very early BAN of people from China, the infectious source, entering the USA"</t>
  </si>
  <si>
    <t>Trump in relation to Katie Miller testing positive: "This is why the whole concept of tests aren’t necessarily great. The tests are perfect but something can happen between a test where it’s good and then something happens." He also said "The media likes to say we have the most cases, but we do, by far, the most testing. If we did very little testing, we wouldn’t have the most cases. So, in a way, by doing all of this testing, we make ourselves look bad."</t>
  </si>
  <si>
    <t>Barack Obama describes Trump handling of the coronavirus pandemic as "an absolute chaotic disaster."</t>
  </si>
  <si>
    <t>The WH has ordered everyone entering the West Wing to wear a face mask, other than for Trump who is exempt.</t>
  </si>
  <si>
    <t>Trump tweets: "Coronavirus numbers are looking MUCH better, going down almost everywhere. Big progress being made!"</t>
  </si>
  <si>
    <t>Trump signals that he is looking ahead to reopening the country, with no intent of extending the federal guidelines aimed to limit the spread of the coronavirus that are to expire 1/5.  He also suggested that the virus may just go away without the need of a vaccine and everything will return to normal after "It's gonna go, it's gonna leave, it's be gonna be eradicated" somehow magically. "We did all the right moves. This is going away. I see the new normal being what it was three months ago. Hopefully in the not too distant future, we'll have some massive rallies and people will be sitting next to each other." He also stated that he believes the U.S. can never declare “total victory” over the coronavirus because too many people have died. But he added that he will count it a win when the virus is gone and the economy fully reopened.</t>
  </si>
  <si>
    <t>Trump "Thanks to the courage of our citizens and our aggressive strategy, hundreds of thousands of lives have been saved. In every generation, through every challenge and hardship and danger, America has risen to the task, we have met the moment and we have prevailed."  he also continued to encourage states to lift lockdown measures, saying "people are dying in the lockdown position too."</t>
  </si>
  <si>
    <t>Dr Thomas R Frieden, former director of the Centers for Disease Control and Prevention "We're not reopening based on science, we're reopening based on politics, ideology, and public pressure. And I think it's going to end badly."</t>
  </si>
  <si>
    <t>Trump tweets: "The great people of Pennsylvania want their freedom now, and they are fully aware of what that entails. The Democrats are moving slowly, all over the USA, for political purposes. They would wait until November 3rd if it were up to them. Don't play politics. Be safe, move quickly!"</t>
  </si>
  <si>
    <t>Fauci, in an email to a news outlet discussing his forthcoming Congress appearance on 12/5, stated ""If we skip over the checkpoints in the guidelines to 'Open America Again', then we risk the danger of multiple outbreaks throughout the country. This will not only result in needless suffering and death, but would actually set us back on our quest to return to normal."</t>
  </si>
  <si>
    <t>Trump in response to Fauci's warnings to congress about really serious consequences if states moving too quickly to reopen or restarting schools too soon, "I was surprised by his answer, actually, because, you know, it’s just, to me, it’s not an acceptable answer, especially when it comes to schools."  Trump also said "The state is not open if the schools are not open."</t>
  </si>
  <si>
    <t>Trump tweets "So last year 37,000 Americans died from the common Flu. It averages between 27,000 and 70,000 per year. Nothing is shut down, life &amp; the economy go on. At this moment there are 546 confirmed cases of CoronaVirus, with 22 deaths. Think about that!" Deaths from COVID-19 passed 70,000 by 5/5</t>
  </si>
  <si>
    <t>Trump defending his tweets "I think some things are too tough, and if you look at some of the states you just mentioned, it's too tough, not only in reference to this but what they've done in Virginia with respect to the second amendment is just a horrible thing... When you see what other states have done, I think I feel very comfortable." When asked if the 3 states should lift their stay at home orders "I think elements of what they've done are too much... What they've done in Virginia is just incredible" this despite these states following Federal guidelines for their stay at home orders.</t>
  </si>
  <si>
    <t>-</t>
  </si>
  <si>
    <t>CDC confirms first case of person to person transmission in the US</t>
  </si>
  <si>
    <t>+</t>
  </si>
  <si>
    <t>Cases</t>
  </si>
  <si>
    <t>14 Day lead time before expect to begin seeing results</t>
  </si>
  <si>
    <t>Pence travels to Iowa, signalling to religious leaders that they should reopen their houses of worship, claiming "for most healthy Americans, the risks that the coronavirus poses remains very low," and thanked them for stepping "forward back into the exercise of your faith."</t>
  </si>
  <si>
    <t>CDC was to release guidelines for reopening the previous Friday, but WH has now stated that it is to be shelved and will not see the light of day, due in part because of a "religious freedom" concern in placing restrictions on churches.  However Birx states that "No one has stopped those guidelines.  We're still in editing."</t>
  </si>
  <si>
    <t xml:space="preserve"> By 16/3 all states had declared a State of Emergency.  States progressively began implementing stay at home orders.  Seven states did not end up implementing any stay at home orders - Arkansas, Iowa, Nebraska, North Dakota, Oklahoma, Utah, and Wyoming, although some cities in these states issued their own local lockdowns</t>
  </si>
  <si>
    <t>Trump claims that state and local government officials were treating Christians worse than Muslims during the pandemic. "Our politicians seem to treat different faiths very differently. … The Christian faith is treated much differently."  At least 20 states include exemptions on large gatherings to allow church congregations to meet, putting themselves and the wider communities at greater risk and despite coronavirus not discriminating on the grounds of religion or seculism</t>
  </si>
  <si>
    <t>Only two states have yet to begin reopening - Connecticut and Massachusetts</t>
  </si>
  <si>
    <t>In response to Rick Bright testifying to Congress that the WH still had no pandemic plan, WH Press Secretary (No. 4) Kayleigh McEnany pushed back against reports that the WH admin threw out the Obama admin pandemic response plan, saying that the Trump admin had simply replaced it saying it was insufficient and it wasn't going to work, after previously saying that the Obama admin had not left any pandemic plan.  Holding up two binders, one a 2018 pandemic crisis action plan and the other a "Crimson Contagion 2019 after-action report" which gamed out the pandemic crisis action plan, "Some have erroneously suggested that the Trump administration threw out the pandemic response playbook left by the Obama-Biden administration.  What the critics failed to note, however, is that this thin packet of paper was replaced by two detailed, robust pandemic response reports commissioned by the Trump administration."  Asked about the action report she answered "What it basically did was say to us, look, some of the previous iterations of plans have put HHS in the lead, HHS of course plays a critical role in our response, but one of the things that was identified was you need a whole of government response from the highest levels".  It does not appear that any recommendations in the action report which apparently savaged the pandemic crises action plan were actioned before COVID-19 hit.</t>
  </si>
  <si>
    <t>After the UK alerted doctors to a new syndrome in April and Cuomo flagging a number of children in NY with inflammatory 'Kawasaki like' responses from COVID-19 over the previous days, the CDC has issued a health advisory on the new syndrome in children under 10</t>
  </si>
  <si>
    <t>Trump announces that his administration is working on a plan to manufacture in bulk the leading vaccine contenders to be ready for mass distribution once any of them are approved, targeting the end of the year.</t>
  </si>
  <si>
    <t>Trump flags that he is considering restoring 10% of funding of previous levels back to the WHO, matching current Chinese payment levels, but also stating "Have not made final decision. All funds are frozen. Thanks!"</t>
  </si>
  <si>
    <t>Trump "We’re looking at vaccines, we’re looking at cures and we are very, very far down the line. I think that’s not going to be in the very distant future. But even before that, I think we’ll be back to normal. … We want to get it back to where it was. We want big, big stadiums loaded with people, we want to get sports back. We miss sports. We need sports in terms of the psyche, the psyche of our country."</t>
  </si>
  <si>
    <t>Leaked projections from the CDC forecasts that the US will be recording 200,000 new cases each day and up to 3,000 deaths each day from COVID-10 by the end of May.  In a separate model, The Institute of Health Metrics and Evaluation now projects that 135,000 people will die from COVID-19, up from its previous estimate of 72,433 deaths</t>
  </si>
  <si>
    <t>Trump tweets contents of letter sent to the WHO which included "If the World Health Organisation does not commit to major substantive improvements within the next 30 days, I will make my temporary freeze of United States funding to the World Health Organisation permanent and reconsider our membership in the organisation."</t>
  </si>
  <si>
    <t>In defending the use of hydroxychloroquine, Trump states "If you look at the one survey, the only bad survey, they were giving it to people that were in very bad shape. They were very old. Almost dead. It was a Trump enemy statement." presumably referring to a study of hundreds of patients treated by the Department of Veterans Affairs in which more of those in a group who were administered hydroxychloroquine died than among those who weren’t.</t>
  </si>
  <si>
    <t>Trump states that he has been taking hydroxychloroquine for about a week and a half, following the positive COVID-19 tests of WH staff. "You'd be surprised at how many people are taking it, especially the frontline workers before you catch it, the frontline workers, many, many are taking it, I happen to be taking it. Here's my evidence: I get a lot of positive calls about it. I've heard a lot of good stories and if it's not good, I'll tell you right I'm not going to get hurt by it."  He added that he was taking a daily zinc supplement and received a single does of the antibiotic azithromycin, saying that he had requested the medication.</t>
  </si>
  <si>
    <t>Trump "You know when you say that we lead in cases, that's because we have more testing than anybody else. It's a great tribute to the testing and all of the work that a lot of of professionals have done."  Trump also suggested he might close the border with Brazil, "I don't want people coming over here and infecting our people.  I don't want people over there sick either."</t>
  </si>
  <si>
    <t>Donald Trump's son and executive VP of the Trump Organisation, Eric Trump: "They think they are taking away Donald Trump's greatest tool, which is being able to go into an arena and fill it with 50,000 people every single time. Joe Biden can't get 10 people in a room. My father is getting 50,000 in a room. And they want to do everything they can to stop it. You watch, they'll milk it every single day between now and Nov. 3. And guess what, after Nov. 3, coronavirus will magically all of a sudden go away and disappear and everybody will be able to reopen. ... This is a very cognizant strategy that they're trying to employ. It's no different than the mail-in voting that they want to do all these places. It's no different than wanting illegal immigrants to vote in our country. It is a cognizant strategy. And it's sad. And, again, it's not going to be allowed to happen and we're going to win in November." His brother, Trump Jr also stated that coronavirus was invented by the Democrats to cancel his father's campaign.</t>
  </si>
  <si>
    <t>Speaker Nancy Pelosi "As far as the President is concerned, he's our President and I would rather he not be taking something that has not been approved by the scientists, especially in his age group and in his, shall we say, weight group, morbidly obese, they say. So I think it's not a good idea."  To be fair to Trump, his BMI suggests that he is obese, rather than morbidly obese.  Trump responded "Pelosi is a sick woman. She’s got a lot of problems, a lot of mental problems."</t>
  </si>
  <si>
    <t>American biotech company Moderna announce findings from a Phase I trial of 8 people who received 2 doses of an experimental vaccine, showing no ill side effects and production of antibodies.</t>
  </si>
  <si>
    <t>The CDC finally releases its guidelines on how to reopen the US with little fanfare, after changes were made to remove specific guidance on religious practices as directed by the WH. The release comes as tensions between the WH and the CDC continue to rise and Birx accusing the CDC of antiquated processes, including the gathering and reporting of cases and deaths.</t>
  </si>
  <si>
    <t>Baltimore's Mayor requests that Trump sets an example with the stay-at-home order and not visit the state but Trump has said that he would still visit.</t>
  </si>
  <si>
    <t>Trump states "We are opening our churches again. I think the CDC is going to put something out very soon, spoke to them today. I think they are going to put something out very soon. We got to open our churches. I said you better put it out and they’re doing it and they’re going to be issuing something today or tomorrow and churches are going to get our churches open."  He also said "This country is poised for an epic comeback, this is going to be an incredible comeback.  Just watch.  It's already happening."</t>
  </si>
  <si>
    <t xml:space="preserve">Michigan AG warns Ford of letting Trump visit factory without a mask, and Ford released a statement that they had requested Trump to wear a mask during his visit, but Trump doesn't wear a mask anyway, claiming he had worn one "in the back area" but did not want to give reporters the pleasure of seeing him wear it.  During the Ford plant visit where the factory had been repurposed to produce ventilators, Trump praises the Ford companies "bloodlines" and Henry Ford's "good blood", which given Henry Ford's notorious anti-Semitism was interesting... </t>
  </si>
  <si>
    <t>Trump the previous day threatened to withhold funding from Michigan over mail-in ballots "We don’t want them to do mail-in ballots. We don’t want anyone to do mail-in ballots."  He repeated similar today "We don’t want them to do mail-in ballots because it’s going to lead to total election fraud. We don’t want to take any chances with fraud in our elections."</t>
  </si>
  <si>
    <t>COVID-19 base CFR</t>
  </si>
  <si>
    <t>Based on difference from base CFR, does not account for lag between detection and deaths</t>
  </si>
  <si>
    <t>The Lancet takes the unusual step to publish an article refuting Trump's claims regarding the Lancet and China with regard to Dec 2019, Jan 2020 timelines and recommended that Trump should not be voted back in. "Americans must put a president in the White House come January, 2021, who will understand that public health should not be guided by partisan politics."</t>
  </si>
  <si>
    <t>CDC  admits that its testing kits are faulty</t>
  </si>
  <si>
    <t>The last remaining CDC officer recalled home from the China CDC, leaving an intelligence vacuum when COVID-19 subsequently began to emerge</t>
  </si>
  <si>
    <t>Trump "Some governors have deemed liquor stores and abortion clinics essential, but have left out churches and houses of worship. It's not right. So I'm correcting this injustice and calling houses of worship essential. The governors need to do the right thing and allow these very important essential places of faith to open right now, this weekend. If they don't do it, I will override the governors. If there's any question, they're going to have to call me, but they're not going to be successful in that call. In America, we need more prayer not less."</t>
  </si>
  <si>
    <t>The CDC release a report of an Arkansas case study where church gatherings resulted in significant COVID-19 outbreaks, impacting not just the congregation, but the wider community as well.  From 2 initial infections who attended church events over 3 days, 38% of the congregation (35 of 92) became infected, and an additional 26 infections occured in the wider community from the infected congregation - resulting in 4 deaths.  The CDC highlight that the total number of infected from this one incident is likely underreported.</t>
  </si>
  <si>
    <t>The CDC releases an interim guidance for communities of faith, "The information offered is non-binding public health guidance for consideration only."</t>
  </si>
  <si>
    <t>Trump Jr referring to Democrats: "... like you said, we've seen this play out for four years. Anything that they can use to try to hurt Trump, they will. Anything he does in a positive sense, like you heard from the reporter that was just suspended from ABC, they will not give him credit for. The playbook is old at this point. But for them to try to take a pandemic and seemingly hope that it comes here, and kills millions of people so that they could end Donald Trump's streak of winning, is a new level of sickness. You know, I don't know if this is coronavirus or Trump derangement syndrome, but these people are infected badly."</t>
  </si>
  <si>
    <t>Trump regarding his morning coronavirus test "And I tested very positively in another sense. So this morning. I tested positively toward negative, right? So no, I tested perfectly this morning. Meaning I tested negative. But that's a way of saying it. Positively toward the negative."</t>
  </si>
  <si>
    <t>The federal DOJ sends letter to the governer of California stating that their reopening plan discriminates against churches.</t>
  </si>
  <si>
    <t>People around the US flout social distancing and mask laws to enjoy the Memorial Day w/e in large crowds at outdoor attractions.</t>
  </si>
  <si>
    <t>Trump tweets that schools "should be opened ASAP", at odds with advice from Fauci.</t>
  </si>
  <si>
    <t>77 Nobel prize-winning US scientists sent an open letter to the Trump administration stating that they are "gravely concernced" about the recent abrupt funding cancellation to EcoHealth Alliance, saying it "sets a dangerous precedent by interfering in the conduct of science, ...deprives the nation and the world of highly regarded science that could help control one of the greatest health crises in modern history and those that may arised in the future."</t>
  </si>
  <si>
    <t>The NIH removes funding from a US non-profit research group EcoHealth Alliance that had been trapping bats throughout China and the world to collect blood and saliva samples to understand potential virus pandemic risks.  It is assumed that because they are partnered with the Wuhan Institute of Virology, and the US government is buying into the leaked virus from the lab conspiracy/myth, that the funding cancellation has been political.</t>
  </si>
  <si>
    <t xml:space="preserve">Delays in implementing lockdown measures in the US had lead to at least 36,000 more deaths, </t>
  </si>
  <si>
    <t>Mike Pompeo scuttles joint G7 communique referring to the COVID-19 virus, insisting that it was called the "Wuhan virus" in the communique.</t>
  </si>
  <si>
    <t>Trump "I wish -- again, our relationship with China is a very good relationship. I wish they told us three months sooner that this was a problem. We didn't know about it. They knew about it and they should have told us. We could have saved a lot of lives throughout the world. If you look at what's happening in Italy and Spain and a lot of other countries, we could have saved a lot of lives throughout the world.  ... as much as I like President Xi and as much as I respect the country and admire the country -- I have great admiration for the country, what they've done in a short period of time. Of course, our presidents, our previous presidents allowed that to happen; you should say "thank you very much" to all of them. But they should have told us about this. And I did ask him whether or not we could send some people, and they didn't want that -- out of pride. I think, really, out of pride. They don't want -- they don't want us sending people into China, to help them. You know, China is a strong country. They have -- they have their scientists and they have their doctors -- very smart."</t>
  </si>
  <si>
    <t>Trump when asked if used the expression Chinese Virus was racist: "It's not racist at all.  No it's not at all. It's from China. That's why. It comes from China. I want to be accurate."  Asked if his aides were comfortable with the term "No, I have a great -- I have great love for all of the people from our country. But, as you know, China tried to say at one point -- maybe they stopped now -- that it was caused by American soldiers. That can't happen. It's not going to happen -- not as long as I'm President. It comes from China."</t>
  </si>
  <si>
    <t>Trump "I just spoke to President Xi last night, and, you know, we're working on the -- the problem, the virus. It's a -- it's a very tough situation. But I think he's going to handle it. I think he's handled it really well. We're helping wherever we can. But we have a great relationship. It's incredible. ...They respect us again and we respect them. And we think -- I think we have the best relationship we've had with China. But it's really incredible."</t>
  </si>
  <si>
    <t>Trump "I have great respect for President Xi and great respect for China, frankly"</t>
  </si>
  <si>
    <t>Trump when asked how confident China was in being 100 percent honest regarding coronavirus "Well, I'm confident that they're trying very hard. I mean, I know President Xi -- I get along with him very well. We've just made a great trade deal, which is going to be a lot of business for Arizona and every other place. But, they are trying very, very hard, and I think the numbers are going to get progressively better as we go along. They're working it -- they built they built a hospital in seven days, and now they're building another one. I think it's going to work out fine. I think when we get into April, in the warmer weather, that has a very negative effect on that and that type of a virus. So let's see what happens, but I think it's going to work out fine."</t>
  </si>
  <si>
    <t>Trump when asked if he trusted the data coming out of China "Look, I know this: President Xi loves the people of China, he loves his country, and he's doing a very good job with a very, very tough situation."</t>
  </si>
  <si>
    <t>Trump on coronavirus "Yeah, we're very much involved. We're very -- very cognizant of everything going on. We have it very much under control in this country. … Well, it's a big -- it's a big situation going on throughout the world. And I can say, the United States, we've very much closed our doors in certain areas, in about certain areas, through certain areas. And we'll see what happens. But we have the greatest doctors in the world. We have it very much under control. We accepted a few people -- a small number of people. They're very well confined and they should be getting better fairly soon. Very interestingly, we've had no deaths. We have a -- I mean, you know, we've had a great practice. We had 12, at one point. And now they've gotten very much better. Many of them are fully recovered."</t>
  </si>
  <si>
    <t>Trump on whether President Xi should be doing anything different: "No, I think President Xi is working very, very hard. I spoke to him. He's working very hard. I think he's doing a very good job. It's a big problem. But President Xi loves his country. He's working very hard to solve the problem and he will solve the problem. Okay?"</t>
  </si>
  <si>
    <t>Trump "Well, we're working on it very closely. I spoke to President Xi two days ago. They're working on it very professionally. It's a problem, we think and we hope, based on all signs that the problem goes away in April because -- which is not too far down the road, because heat kills this virus. We think, now we're going to find out, Geraldo, but we think, and they are having difficulty in China but they're working very, very hard. We're working with them. We're sending a lot of people and CDC has been great but it is -- it's a problem in China. Has not been spreading very much. In our country, we only have, basically, 12 cases and most of those people are recovering and some cases fully recovered. So it's actually less."  On whether the Chinese is telling the truth "Well, you never know. I think they want to put the best face on it. So you know, I mean, if somebody -- if you were running it, you'd probably -- you wouldn't want to run out to the world and go crazy and start saying whatever it is because you don't want to create a panic. But, no, I think they've handled it professionally and I think they're extremely capable and I think President Xi is extremely capable and I hope that it's going to be resolved. Again, the April date is very important. But you know this is a big thing. The April date is very, very important because if that's the case, if he does, in fact, kill that's when it starts getting hot and this virus reacts very poorly to heat and dies. So we'll see what happens."</t>
  </si>
  <si>
    <t>Trump tweets "Low Ratings Fake News MSDNC (Comcast) &amp; @CNN are doing everything possible to make the Caronavirus look as bad as possible, including panicking markets, if possible. Likewise their incompetent Do Nothing Democrat comrades are all talk, no action. USA in great shape!"</t>
  </si>
  <si>
    <t xml:space="preserve">First community spread case documented, Trump states "Now, at the same time, you do have some outbreaks in some countries. Italy and various countries are having some difficulty. China, you know about it, where it started. I spoke with President Xi. We had a great talk. He's working very hard, I have to say. He's working very, very hard. And if you can count on the reports coming out of China, that spread has gone down quite a bit. The infection seems to have gone down over the last two days. As opposed to getting larger, it's actually gotten smaller. In one instance where we think we can be -- it's somewhat reliable, it seems to have gotten quite a bit smaller... We’re going to be pretty soon at only five people. And we could be at just one or two people over the next short period of time. ... I want you to understand something that shocked me when I saw it that -- and I spoke with Dr. Fauci on this, and I was really amazed, and I think most people are amazed to hear it: The flu, in our country, kills from 25,000 people to 69,000 people a year. That was shocking to me. And, so far, if you look at what we have with the 15 people and their recovery, one is -- one is pretty sick but hopefully will recover, but the others are in great shape. But think of that: 25,000 to 69,000. Over the last 10 years, we've lost 360,000. These are people that have died from the flu -- from what we call the flu. "Hey, did you get your flu shot?" And that's something. Now, what we've done is we've stopped non-U.S. citizens from coming into America from China. That was done very early on. We're screening people, and we have been, at a very high level -- screening people coming into the country from infected areas. We have in quarantine those infected and those at risk. We have a lot of great quarantine facilities. We're rapidly developing a vaccine, and they can speak to you -- the professionals can speak to you about that. The vaccine is coming along well. And in speaking to the doctors, we think this is something that we can develop fairly rapidly, a vaccine for the future, and coordinate with the support of our partners. We have great relationships with all of the countries that we're talking about. Some fairly large number of countries. Some it's one person, and many countries have no problem whatsoever. And we'll see what happens. But we're very, very ready for this, for anything -- whether it's going to be a breakout of larger proportions or whether or not we're -- you know, we're at that very low level, and we want to keep it that way. So we're at the low level. As they get better, we take them off the list, so that we're going to be pretty soon at only five people. And we could be at just one or two people over the next short period of time. So we've had very good luck. The Johns Hopkins, I guess -- is a highly respected, great place -- they did a study, comprehensive: "The Countries Best and Worst Prepared for an Epidemic." And the United States is now -- we're rated number one. We're rated number one for being prepared. This is a list of different countries. I don't want to get in your way, especially since you do such a good job. This is a list of the different countries. The United States is rated number one most prepared. United Kingdom, Netherlands, Australia, Canada, Thailand, Sweden, Denmark, South Korea, Finland.  ...  And what I've done is I'm going to be announcing, exactly right now, that I'm going to be putting our Vice President, Mike Pence, in charge. And Mike will be working with the professionals, doctors, and everybody else that's working. The team is brilliant. I spent a lot of time with the team over the last couple of weeks, but they're totally brilliant, and we're doing really well. And Mike is going to be in charge, and Mike will report back to me. But he's got a certain talent for this. ... We do have plans of a much -- on a much larger scale, should we need that. We're working with states, we're working with virtually every state. And we do have plans on a larger scale if we need it. We don't think we're going to need it, but, you know, you always have to be prepared. ... No, because we're ready for it. It is what it is. We're ready for it. We're really prepared. We have -- as I said, we've had -- we have the greatest people in the world. We're very ready for it. We hope it doesn't spread. There's a chance that it won't spread too, and there's a chance that it will, and then it's a question of at what level. So far, we've done a great job. When you have 15 people, with this whole world coming into the United States, and the 15 people are either better or close to being better, that's pretty good." </t>
  </si>
  <si>
    <t>On whether the Chinese communist party and President Xi has been forthcoming about coronavirus "Well, I can tell you this: I speak to him; I had a talk with him recently. And he is working so hard on this problem. He is working so hard. And they're very tough and very smart. And it's a significant -- it's a significant group of very talented people that are working. And they're calling up Dr. Fauci. They're calling up our people. We're dealing with them. We're giving them certain advice. We actually have -- through World Health, we have them over there also. And we have a lot of our people making up that group that went over there. No, he's working very hard. It would be very easy for me to say, you know -- it doesn't matter what I say, really. I can tell you, he is working -- I had a long talk with him the other night. He is working really, really hard. He wants it to go away from China and go away fast, and he wants to get back to business as usual. ... We're working with China. We just did the biggest trade deal in history. We did two of them. Between USMCA and the China deal, it's the biggest in history. The relationship with China is a very good one. And I can tell you that, again, President Xi is working really hard. He wants this problem solved."</t>
  </si>
  <si>
    <t>With North Carolina experiencing increased rate of infections, Trump flagged that Republicans may need to reconsider another venue for its GOP convention if safe distancing rules are not lifted in the state</t>
  </si>
  <si>
    <t>As the number of deaths close in on 100,000, Trump spends time at his golf course on Sat and Sun, resulting in social media reposting his criticisms of Obama when he played a round during the Ebola crisis.</t>
  </si>
  <si>
    <t>Trump "Great reviews on our handling of Covid 19, sometimes referred to as the China Virus. Ventilators, Testing, Medical Supply Distribution, we made a lot of Governors look very good - And got no credit for so doing. Most importantly, we helped a lot of great people!", "Nobody in 50 years has been WEAKER on China than Sleepy Joe Biden. He was asleep at the wheel. He gave them EVERYTHING they wanted, including rip-off Trade Deals. I am getting it all back!"</t>
  </si>
  <si>
    <t>Trump "Together we will vanquish the virus and America will rise from this crisis to new and even greater heights. No obstacle, no challenge and no threat is a match for the sheer determination of the American people." at a Memorial Day address in Baltimore despite the mayor urging him to cancel the visit, saying it woudl set the wrong example considering the city is still in lockdown.</t>
  </si>
  <si>
    <t>Politico reports: The National Republican Senatorial Committee distributed a detailed, 57-page memo…advising GOP candidates to address the coronavirus crisis by aggressively attacking China, Don't defend Trump, other than the China Travel Ban – attack China - the memo contains tactics and instructions that focus on three lines of attack: China covered up COVID-19, Democrats are soft on China and the Republicans will sanction China for letting the pandemic getting out of control.</t>
  </si>
  <si>
    <t>The memorial day w/e sees rise in politicising of masks, with Republicans largely not wearing them and Democrats largely wearing them, and political point scoring from Republicans that Democrats are scare mongering by wearing masks, while some Republican governors implore their constituents to wear masks and that doing so should not be a political statement.</t>
  </si>
  <si>
    <t>Trump tweets "Republicans feel that Social Media Platforms totally silence conservatives voices. We will strongly regulate, or close them down, before we can ever allow this to happen."  Kayleigh McEnany, the White House press secretary, told reporters traveling aboard Air Force One on Wednesday that Trump soon planned to sign an executive order on social media companies.  In 2018 a federal judge ruled the president could not block people on Twitter, because it violates their first amendment rights to participate in a "public forum"</t>
  </si>
  <si>
    <t>Trump tweets "This might help explain why Trump doesn’t like to wear a mask in public." after Biden visits a memorial wearing a mask</t>
  </si>
  <si>
    <t>Kayleigh McEnany, while claiming that Trump was not shaming anyone with respect to his tweet about Biden says "It is a bit peculiar though that in his basement right next to his wife he's not wearing a mask but he's wearing one outdoors when he's socially distancing so I think that there was a discrepancy there." - scratching head...</t>
  </si>
  <si>
    <t>Trump suspends entry for foreigners who have been in Brazil within 14 days prior to seeking US admittance.  The new rules were to come into effect Thursday night, but were brought forward and implemented on Tuesday</t>
  </si>
  <si>
    <t>WHO officials cite China for its "openness" to the prospect of scientific inquiries involving foreign experts into the origins of the novel coronavirus, and also place a temporary suspension on the use of hydroxychloroquine from global studies citing concerns over health risks</t>
  </si>
  <si>
    <t>Trump referring to a second wave "We are going to put out the fires, we're not going to close the country, we're going to put out the fire. Whether it's an ember or it's a flame we're going to put it out."</t>
  </si>
  <si>
    <t>All 50 states have now sought to reopen, at least partially</t>
  </si>
  <si>
    <t xml:space="preserve">Trump tweets "Now that our Country is 'Transitioning back to Greatness', I am considering rescheduling the G-7, on the same or similar date, in Washington, D.C., at the legendary Camp David. The other members are also beginning their COMEBACK. It would be a great sign to all – normalization!" referring to the June G7 meeting which had previously been slated back in March to be held in July by videoconference.  </t>
  </si>
  <si>
    <t>Twitter flags a Trump tweet "There is NO WAY (ZERO!) that Mail-In Ballots will be anything less than substantially fraudulent. Mail boxes will be robbed, ballots will be forged &amp; even illegally printed out &amp; fraudulently signed. The Governor of California is sending Ballots to millions of people, anyone....." + "....living in the state, no matter who they are or how they got there, will get one. That will be followed up with professionals telling all of these people, many of whom have never even thought of voting before, how, and for whom, to vote. This will be a Rigged Election. No way!" to be false under its new "misleading information" policy designed to combat misinformation about coronavirus, singling this tweet out because it related to election integrity, Trump follows with a tweet ".@Twitter is now interfering in the 2020 Presidential Election. They are saying my statement on Mail-In Ballots, which will lead to massive corruption and fraud, is incorrect, based on fact-checking by Fake News CNN and the Amazon Washington Post...." + "....Twitter is completely stifling FREE SPEECH, and I, as President, will not allow it to happen!"  Twitter feels the heat for all sides, from conservative supporting Trump, and from critics saying that Twitter should be consistent and also call out the other baseless conspiracy theory about Joe Scarborough having killed his wife that Trump was also pushing that weekend.</t>
  </si>
  <si>
    <t>Trump signs an executive order targeting social media companies stating that it was to "defend free speech from one of the gravest dangers it has faced in American history. A small handful of social media monopolies controls a vast portion of all public and private communications in the United States. They've had unchecked power to censor, restrict, edit, shape, hide, alter, virtually any form of communication between private citizens and large public audiences. ...Imagine if your local phone companies tried to edit or censor what you said. Social media companies have far more power."</t>
  </si>
  <si>
    <t>WWII</t>
  </si>
  <si>
    <t>WWI</t>
  </si>
  <si>
    <t>Korean War</t>
  </si>
  <si>
    <t>Vietnam War</t>
  </si>
  <si>
    <t>Gulf War</t>
  </si>
  <si>
    <t>Conflict</t>
  </si>
  <si>
    <t>US Deaths</t>
  </si>
  <si>
    <t>% US Population</t>
  </si>
  <si>
    <t>Spanish-American War</t>
  </si>
  <si>
    <t>Philippine-American War</t>
  </si>
  <si>
    <t>War in Afghanistan</t>
  </si>
  <si>
    <t>Iraq War</t>
  </si>
  <si>
    <t>American Revolutionary War</t>
  </si>
  <si>
    <t>War of 1812</t>
  </si>
  <si>
    <t>American Civil War</t>
  </si>
  <si>
    <t>Mexican-American War</t>
  </si>
  <si>
    <t>COVID-19 Deaths</t>
  </si>
  <si>
    <t>Date COVID-19 Deaths passed this figure</t>
  </si>
  <si>
    <t>Leading Causes of Death in US</t>
  </si>
  <si>
    <t>Major US Conflicts</t>
  </si>
  <si>
    <t>Heart Disease</t>
  </si>
  <si>
    <t>Accidents</t>
  </si>
  <si>
    <t>Chronic Lower Respiratory Diseases</t>
  </si>
  <si>
    <t>Stroke</t>
  </si>
  <si>
    <t>Alzheimer's Disease</t>
  </si>
  <si>
    <t>Influenza and Pneumonia</t>
  </si>
  <si>
    <t>Suicide</t>
  </si>
  <si>
    <t>Leading Causes</t>
  </si>
  <si>
    <t>Kidney Disease (Nephritis, nephrotic syndrome and nephrosis)</t>
  </si>
  <si>
    <t>Daily Deaths</t>
  </si>
  <si>
    <t>US Epidemics</t>
  </si>
  <si>
    <t>1906-1907 Typhoid Fever (New York)</t>
  </si>
  <si>
    <t>1793 Yellow Fever (Philadelphia)</t>
  </si>
  <si>
    <t>1921-1925 Diptheria</t>
  </si>
  <si>
    <t>1981-1991 Measles</t>
  </si>
  <si>
    <t>2,000-10,000</t>
  </si>
  <si>
    <t>Epidemic</t>
  </si>
  <si>
    <t>US Disasters</t>
  </si>
  <si>
    <t>1900 Galveston Hurricane</t>
  </si>
  <si>
    <t>1899 San Ciriaco Hurricane</t>
  </si>
  <si>
    <t>1906 San Francisco Earthquake</t>
  </si>
  <si>
    <t>2001 September 11 Attacks</t>
  </si>
  <si>
    <t>2017 Hurricane Maria</t>
  </si>
  <si>
    <t>1928 Okeechobee Hurricane</t>
  </si>
  <si>
    <t>1941 Pearl Harbour</t>
  </si>
  <si>
    <t>1889 Johnstown Dam Flood</t>
  </si>
  <si>
    <t>1893 Cheniere Caminada Hurricane</t>
  </si>
  <si>
    <t>1980 Heat wave</t>
  </si>
  <si>
    <t>1871 Wildfire</t>
  </si>
  <si>
    <t>2005 Hurricane Katrina</t>
  </si>
  <si>
    <t>1904 PS General Slocum fire and sinking</t>
  </si>
  <si>
    <t>1943 HMT Rohna bombing and sinking</t>
  </si>
  <si>
    <t>1893 Sea Islands Hurricane</t>
  </si>
  <si>
    <t>1918 Cloquet wildfire</t>
  </si>
  <si>
    <t>1978 Jonestown mass suicide</t>
  </si>
  <si>
    <t>Peak</t>
  </si>
  <si>
    <t>1957-1958 H2N2 Flu Pandemic ("Asian Flu")</t>
  </si>
  <si>
    <t>10,000-50,000</t>
  </si>
  <si>
    <t>US seasonal flu deaths</t>
  </si>
  <si>
    <t>2017-2018 seasonal flu</t>
  </si>
  <si>
    <t>1952 Polio peak year of deaths</t>
  </si>
  <si>
    <t>COVID Deaths</t>
  </si>
  <si>
    <t>First Detected Death</t>
  </si>
  <si>
    <t>Now</t>
  </si>
  <si>
    <t>Current Deaths</t>
  </si>
  <si>
    <t>Avg Deaths / Day</t>
  </si>
  <si>
    <t>Year end at this rate (linear projection)</t>
  </si>
  <si>
    <t>Peak Deaths / Day</t>
  </si>
  <si>
    <t>1918-1919 H1N1 Flu Pandemic ("Spanish Flu")</t>
  </si>
  <si>
    <t>Believed to have originated in Kansas, origin still uncertain</t>
  </si>
  <si>
    <t xml:space="preserve">2009 H1N1 Flu Pandemic ("Swine Flu") </t>
  </si>
  <si>
    <t>1968 H3N2 Flu Pandemic ("Hong Kong Flu")</t>
  </si>
  <si>
    <t>Date COVID-19 Daily Deaths passed this death rate</t>
  </si>
  <si>
    <t>Date COVID-19 Daily Deaths passed deaths from this event</t>
  </si>
  <si>
    <t>Daily COVID-19 Deaths by Date</t>
  </si>
  <si>
    <t>Believed to have originated in Mexico</t>
  </si>
  <si>
    <t>Believed to have originated in China.</t>
  </si>
  <si>
    <t>Trump "I mean, nobody wants to do this.  It’s a brutal step.  'We’re going to close down your country.'  Who ever heard of a thing like this? But we would have had millions of people die if we didn’t do this.  Millions of people.  And I believe that, Mike.  I think — you know, in looking at things that we’ve been looking at over the last couple of days, I think — and, really, over the last couple of weeks — from the time we did it, shortly thereafter I said we made the right decision in closing down.  We made the right decision on borders, banning people coming in from China; banning, ultimately, people coming in from Europe. But we would have had millions of deaths instead of — it looks like we’ll be at about a 60,000 mark, which is 40,000 less than the lowest number thought of."</t>
  </si>
  <si>
    <t>Trump in answering this question "Mr. President, 50,000 people have died today.  You’re saying that you want credit for what the government has done.  Do you take any responsibility for these 50,000 deaths that have happened in this country?" His response: "I think we’ve done a great job.  As you know, minimal numbers were — minimal numbers were going to be 100,000 people.  Minimal numbers were going to be 100,000 people.  And we’re going to be, hopefully, far below that.  If we didn’t take quick action, you could have lost many millions of people."</t>
  </si>
  <si>
    <t>Trump " If we didn’t act quickly and smartly, we would have had, in my opinion and in the opinion of others, anywhere from 10 to 20 and maybe even 25 times the number of deaths.  We closed the border to China, meaning we put it on the ban — people coming in from China.  That was a very big moment.  As Dr. Fauci said, we saved thousands and thousands of lives when we did that.  And that’s true, but I think we would have had anywhere from 10 to 20 or 25 times the number of deaths if we didn’t act the way we did and also if we didn’t act swiftly.  So we’re very proud of our team and our task force and Mike.  Great job."</t>
  </si>
  <si>
    <t>Trump tweets "For all of the political hacks out there, if I hadn’t done my job well, &amp; early, we would have lost 1 1/2 to 2 Million People, as opposed to the 100,000 plus that looks like will be the number. That’s 15 to 20 times more than we will lose. I shut down entry from China very early!"</t>
  </si>
  <si>
    <t>Columbia Uni state, based on their modelling, that 35,000 lives would have been saved in the US if social distancing measures had begun just a week earlier than they actually did in Mid-March, warning of the risk of reopening too early, and 84% of lives could have been saved if social distancing measures had started two weeks earlier.  Trump has stated that if a second wave of the coronavirus was to hit the nation, he would not attempt to shut it down again.  In response to Columbia University's analysis, Trump attacked the Ivy League school as a "liberal, disgraceful institution."</t>
  </si>
  <si>
    <t>Imperial College release a report on the expected impact to lives of COVID-19 if no mitigation measures are taken.  It serves as an important catalyst to galvanise many governments around the world to begin taking the pandemic seriously.</t>
  </si>
  <si>
    <t>Road Fatalities</t>
  </si>
  <si>
    <t>Trump tweets "The W.H.O. really blew it. For some reason, funded largely by the United States, yet very China centric. We will be giving that a good look. Fortunately I rejected their advice on keeping our borders open to China early on. Why did they give us such a faulty recommendation?"</t>
  </si>
  <si>
    <t>Chinese authorities begin noticing cases of a mysterious disease</t>
  </si>
  <si>
    <t>CDC states that delays in rollout of coronavirus testing did not hinder the nation's response to the pandemic.  According to their analysis, coronavirus didn't begin circulating in the US until late Jan/early Feb.  According to the CDC, earlier testing would not have helped identify its spread.  The findings from the CDC that delayed testing did not have a negative impact on the US response was immediately recieved with skepticism and some criticism.  Howver, the analysis does undermine the narrative that some people in the US were infected in Dec/early Jan and note that travel restrictions such as from China and Europe did little to prevent the spread because community transmisssion was already occuring, undermining Trumps frequent references to saving millions of lives from the travel bans, particularly from China</t>
  </si>
  <si>
    <t>Trump "I really think the public has been incredible with what they — that’s one of the reasons we’re successful.  That’s one of the — if you call losing 80 or 90 thousand people "successful."  But it’s one of the reasons that we’re not at that high end of the plane as opposed to the low end of the plane. ...I used to say 65,000 —</t>
  </si>
  <si>
    <t>Trump "Not long ago, models predicted that between 1.5 million and 2.2 million people would have died in the United States without the mitigation.  Through our aggressive response and the remarkable commitment and bravery of American people, we have saved thousands and thousands of lives.  I can even make that, if you want, hundreds of thousands of lives.  People were thinking in terms of 1.5 million lives lost to 2.2 without the mitigation.  And hopefully, we’re going to come in below that 100,000 lives lost, which is a horrible number nevertheless.  It’s a horrible thing.  It could’ve been stopped.  It should’ve been stopped at source, but it wasn’t."</t>
  </si>
  <si>
    <t>US Secretary of State Mike Pompeo "There is a significant amount of evidence that this came from that laboratory in Wuhan. Instead, China behaved like authoritarian regimes do, attempted to conceal and hide and confuse. The best experts so far seem to think it was man-made. I have no reason to disbelieve that at this point." When pointed out that this was not the conclusion of the US intelligence agencies, Pompeo backtracked "That’s right. I agree with that. I've seen what the intelligence community has said.  I have no reason to believe that they've got it wrong. ... It should be something — you know, think of it: We could save anywhere from a million to even a million-five.  And, I guess, if you think about it, we could save 2.1, 2.5 million lives, depending on what happens.  And with this invisible enemy, as we said, nobody knows what really happens, but we’ve learned a lot in the last two months."</t>
  </si>
  <si>
    <t>Trump "This plague should never have happened.  It could have been stopped, but people chose not to stop it. … And some of the facts are coming out, and we did all the right moves.  I’ll tell you, we did — we wouldn’t do — we were talking to Mike before.  If we didn’t do what we did, you would’ve had a million people die, maybe more.  Maybe 2 million people die.  And if you think that we’d be at 65 or 70 or 60 or whatever the final number will be — one is too many.  I always say it: One is far too many.  This should’ve never been allowed to happen.  It should’ve been stopped a long time ago, before it ever got here or to other countries."</t>
  </si>
  <si>
    <t>Trump "We are in a war.  This is a World War Two, this is a World War One — where, by the way, the war essentially ended because of a plague.  That was one of the worst ever.  They lost almost 100 million people.  But we’re in a big war. … I did it early, but I was the last person that wanted to close down one of the great economic — you can’t call it an experiment, but everything, I guess, in life is an experiment.  So I say experiments.  But one of the great economic stories in history.  I’m the last person who wanted to do it. But we did the right thing, because if we didn’t do it, you would have had a million people, a million and a half people, maybe 2 million people dead.  Now, we’re going toward 50, I’m hearing, or 60,000 people.  One is too many.  I always say it: One is too many.  But we’re going toward 50- or 60,000 people.  That’s at the lower — as you know, the low number was supposed to be 100,000 people.  We — we could end up at 50 to 60.  Okay?  It’s horrible.  If we didn’t do what we did, we would have had, I think, a million people, maybe 2 million people, maybe more than that. ... And many of the people that have this theory, “Oh, let’s — you know, maybe we could have just gone right through it,” I was — I was somebody that would have loved to have done that, but it wouldn’t have been sustainable.  You can’t lose a million people.  That’s more than — that’s almost double what we lost in the Civil War.  I use that as a guide.  Civil War: 600,000 people died.  So it’s not sustainable.  But it could have been much more than a million people. I mean, if you took a number and cut it half, and half, and in half again, you’d end up at 500,000 people — okay? — if you want to make a very conservative guesstimate.  Five hundred thousand people is not acceptable.  Is that a correct sort of an analogy? ... When we say 50 and they compare 50 to the 35 of the flu — because it averaged 35, 36,000 over a 10-year period.  It’s a lot.  Who would think that?  But we’re not talking about with the flu. ... And we’re still going to lose between 50 and 60. ... But, in this case, if we didn’t do anything, the number wouldn’t be 50 to 60,000.  The number would be a million people dead.  It would be a million-five, a million-two.  Maybe 700,000.  It would have been a number in — like that. ... But I just say this: If we would have done that, we would have lost anywhere from a million to more than 2 million people.  Now, with all of the death that we’ve seen — and 50- or 60,000 people, heading toward — right now it’s at 40.  But 50- or 60,000 people; probably over 50, from what I see.  But that’s with our guard up.  If we took our guard down and just said, “Okay, we’re just going to keep this open,” we would have lost millions of people.  Can you imagine? ... But if we didn’t do the moves that we made, you would have had a million, a million and a half, 2 million people dead.  So multiply that times 50; you’re talking about — you would have had 10 to 20 to 25 times more people dead than all of the people that we’ve been watching.  That’s not acceptable.  The 50,000 is not acceptable.  It’s so horrible.  But can you imagine multiplying that out by 20 or more?  It’s not acceptable."</t>
  </si>
  <si>
    <t>Trump "We’re talking about death.  We’re talking about the greatest economy in the world.  One day I have to close it off.  And we did the right thing, because maybe it would have been 2 million people died instead of whatever that final number will be, which could be 60, could be 70, could be 75, could be 55.  Thousands of people have died. ... One of the reasons we’re so far below that number is because nobody thought the American people could be so disciplined.  Nobody thought it was possible.  And, I guess, when they watched us up here every day, and they watched other people, and they listened to their representatives and governors — nobody thought that the American people could be so disciplined.  They’ve been unbelievable. And because of that — so you have a minimum number of 100,000, and then you had the 2.2 number that, if we did nothing — if we did — just kept working, everybody go to work — people would be dropping dead on the subways.  No. If we would have lost a million people — take the 2.2 million and cut it in half.  Make it — cut it in more than half.  Make it a million people, okay?  Now take that number and cut it in half.  Make it 500,000 people.  That’s if we did nothing, right?  It’s unacceptable.  It’s too many people. So we have — we’ve spent more money on stimulus.  Who cares by comparison?  You take 2.2, you cut it in half, you cut it in half, you cut it in half — you keep cutting it in half.  I don’t care what number you choose — 500,000, 400,000.  Well, we’re going to have — we’re talking 50, 60, 65 [thousand].  Maybe.  Maybe.  But if we would have done what one country tried — and it has been very tough for them.  You know that.  Very, very nasty.  Very tough.  But if we would have done that here — And again, you got to remember: UK tried it.  And I was a little surprised.  And I watched it.  They were going about — what, two weeks?  And they said, “We got to stop.”  Because it was — they were going to have a whole country infected. So, with all of that being said, we got to get back to work.  We got to get — we got to get our country open.  But we could have lost 2 million people.  We could have lost 1 million people.  We could have lost a half a million people. If we would’ve lost 500,000 people — and I’ll say this also: From the standpoint of being President and Vice President, and we’re up there and we’re doing that herd, and we’re going to bullet through — do you honestly think people like Jim and yourself and other people would’ve — Jeff — would have put up with it, as people are dying all over?  They would have said, “This man is crazy.”  Because the numbers, Tony, at a minimum, would have been many, many times greater than the numbers we’re talking about."</t>
  </si>
  <si>
    <t>Dr Birx "I think you know from that large blue mountain that you can see behind me — and I just want to thank the five or six international and domestic modelers from Harvard, from Columbia, from Northeastern, from Imperial who helped us tremendously.  It was their models that created the ability to see what these mitigations could do, how steeply they could depress the curve from that giant blue mountain down to that more stippled area. In their estimates, they had between 1.5 million and 2.2 million people in the United States succumbing to this virus without mitigation.  Yet, through their detailed studies and showing us what social distancing would do, what people — what would happen if people stayed home, what would happen if people were careful every day to wash their hands and worry about touching their faces, that what an extraordinary thing this could be if every American followed these.  And it takes us to that stippled mountain that’s much lower — a hill, actually — down to 100,000 to 200,000 deaths, which is still way too much." Dr Fauci "The modeling that Dr. Birx showed predicts that number that you saw.  We don’t accept that number that that’s what’s going to be.  We’re going to be doing everything we can to get it even significantly below that. So, you know, I don’t want it to be a mixed message.  This is the thing that we need to anticipate, but that doesn’t mean that that’s what we’re going to accept.  We want to do much, much better than that. ... as sobering a number as that is, we should be prepared for it.  Is it going to be that much?  I hope not.  And I think the more we push on the mitigation, the less likelihood it would be that number.  But as being realistic, we need to prepare ourselves that that is a possibility, that that’s what we will see."</t>
  </si>
  <si>
    <t>Trump on the projections "They’re very sobering, yeah.  When you see 100,000 people, that’s a — and that’s at a minimum number. Now, what we’re looking at — and as many people as we’re talking about — whatever we can do under that number and substantially under that number, we’ve done that through really great mitigation.  We’ve done that through a lot of very dedicated American people that, you know, 100,000 is — is, according to modeling, a very low number. In fact, when I first saw the number — and I asked this a while ago — they said it’s unlikely you’ll be able to attain that.  I think we’re doing better than that.  Now, I think.  We have to see.  But I think we’re doing better than that.  Because, as John said, that would be, you know, a lot of lives taking place over a relatively short period of time. But think of what would have happened if we didn’t do anything.  I mean, I’ve had many friends, business people, people with great, actually, common sense — they said, “Why don’t we ride it out?”  A lot of people have said.  A lot of people have thought about it.  “Ride it out.  Don’t do anything, just ride it out and think of it as the flu.”  But it’s not the flu.  It’s vicious. ... So we would have seen things had we done nothing.  But for a long while, a lot of people were asking that question, I think, right?  I was asking it also.  I mean, a lot of people were saying, “Well, let’s just ride it out.”  This is not to be ridden out because then you would have been looking at potentially 2.2 million people or more.  2.2 million people in a relatively short period of time. If you remember, they were looking at that concept.  It’s a a concept, I guess.  You know, it’s concept if you — if you don’t mind death.  A lot of death.  But they were looking at that in the UK.  Remember?  They were very much looking at it.  And all of a sudden, they went hard the other way because they started seeing things that weren’t good.  So they were — you know, they put themselves in a little bit of a problem. ... But that was something that everybody was talking about, Steve, like, “just don’t do anything.”  “Don’t do anything.  Forget about everything.  Just ride it out.”  They used the expression, “Ride it out.”  We would have had, at a minimum, 1.5, 1.6, but you would have had perhaps more than 2.2 million people dying in a very short period of time.  And that would have been a number that — the likes of which we’ve never seen."</t>
  </si>
  <si>
    <t>The number of US deaths from COVID-19 surpass the 3,300 Chinese deaths from COVID-19</t>
  </si>
  <si>
    <t>The number of US deaths from COVID-19 surpass the 2,977 victims and 19 hijackers of the 9/11 attacks of 2001</t>
  </si>
  <si>
    <t>The number of US deaths from COVID-19 surpass the 2,216 US deaths of the War in Afghanistan, to-date</t>
  </si>
  <si>
    <t>The number of US deaths from COVID-19 surpass the 4,497 US deaths of the Iraq War</t>
  </si>
  <si>
    <t>The number of US deaths from COVID-19 surpass the 10,771 deaths in the US from typhoid fever in 1906-1907</t>
  </si>
  <si>
    <t>The number of US deaths from COVID-19 surpass the 12,469 deaths in the US from the H1N1 "Swine flu" of 2009-2010. Some estimates put the real death toll at 18,000.</t>
  </si>
  <si>
    <t>The number of US deaths from COVID-19 surpass the 25,000 deaths of the American Revolutionary War</t>
  </si>
  <si>
    <t>The number of US deaths from COVID-19 surpass the 36,516 US deaths of the Korean war</t>
  </si>
  <si>
    <t>The number of US deaths from COVID-19 surpass the annual US road fatalities of 37,000 - 38,000 per year</t>
  </si>
  <si>
    <t>The number of US deaths from COVID-19 surpass the 58,220 US deaths of the Vietnam war</t>
  </si>
  <si>
    <t>The number of US deaths from COVID-19 surpass the 61,000 US deaths from the seasonal flu in 2017-2018, normally the number of deaths from the seasonal flu in the US is between 10,000 to 50,000 per season.</t>
  </si>
  <si>
    <t>Trump announces that the US is terminating its relationship with the WHO three weeks ahead of a deadline he set earlier this month on 19/5. "Chinese officials ignored their reporting obligations to the World Health Organization and pressured the World Health Organization to mislead the world when the virus was first discovered by Chinese authorities. Countless lives have been taken and profound economic hardship has been inflicted all around the globe. ... China has total control over the World Health Organization ... Because they have failed to make the requested and greatly needed reforms, we will be today terminating our relationship with the World Health Organization and redirecting those funds to other worldwide and deserving, urgent global public health needs ... world needs answers from China on the virus. We must have transparency."</t>
  </si>
  <si>
    <t>Following the death of George Floyd at the hands of police 25/5, there have been ongoing protests and riots around the country, but focus in Minneapolis. Trump tweets "....These THUGS are dishonoring the memory of George Floyd, and I won’t let that happen. Just spoke to Governor Tim Walz and told him that the Military is with him all the way. Any difficulty and we will assume control but, when the looting starts, the shooting starts. Thank you!", echoing a 1960's phrase used by Miami Police Chief Walter Headley.  Twitter hides the tweet behind a flag saying that it "glorifies violence", ratcheting up the war between Trump, conservatives, and Twitter and social platforms in general.  Trump tweets in response "Twitter is doing nothing about all of the lies &amp; propaganda being put out by China or the Radical Left Democrat Party. They have targeted Republicans, Conservatives &amp; the President of the United States."</t>
  </si>
  <si>
    <t>of population</t>
  </si>
  <si>
    <t>Course grained projections based on broader rates of infection and recovery which may not be as applicable in the US context</t>
  </si>
  <si>
    <t>Fauci states that he has not spoken to Trump in over 2 weeks, raising fears that he has been frozen out of the WH response to coronavirus</t>
  </si>
  <si>
    <t>Trump announces that he is delaying the G7 until September and wants additional countries to attend - Russia, South Korea, Australia, and India as potential invitees.  Canada's PM, Justin Trudeau has pushed back on an invite being extended to Russia.</t>
  </si>
  <si>
    <t>2019 figures from the Gun Violence Archive</t>
  </si>
  <si>
    <t>Trump keeps escalating tensions following the death of George Floyd in lead up to elections and to deflect from the coronavirus response to date.  Widespread protests continue to grow and engulf US cities</t>
  </si>
  <si>
    <t>Recordings of WHO officials complaining in meetings during the week of 6/1 that Beijing was not sharing the data needed to evaluate the risk of the virus are leaked.  It was not until 20/1 that China confirmed that coronavirus was contagious.</t>
  </si>
  <si>
    <t>Origin unknown, first detected in Hong Kong</t>
  </si>
  <si>
    <t>Chinese state media announced the illness was the result of a new coronavirus but said it was not contagious</t>
  </si>
  <si>
    <t>WHO report preliminary Chinese studies suggest no clear evidence of human to human transmission, but stated that it was still an strong possibility</t>
  </si>
  <si>
    <t>Chines authorities lock down Wuhan, by which time at least 5 million residents had left before the lunar new year holiday and the city's hospitals were by this tme flooded with patients, and cases appearing across the region.</t>
  </si>
  <si>
    <t>China confirms that coronavirus was contagious.</t>
  </si>
  <si>
    <t>Chinese authorities install temperature checkpoints at the airport, train stations, and bus terminals in Wuhan.</t>
  </si>
  <si>
    <t>Trump "Germany and the United States are the two best in deaths per 100,000 people, which, frankly, to me, that’s perhaps the most important number there is.".  While not the worst, at this moment, the US has a worse death rate per 100,000 than the world average and it is by no means close to being among the two best .</t>
  </si>
  <si>
    <t>Gun Violence Deaths in US (2019)</t>
  </si>
  <si>
    <t>Death from mass shootings (2019)</t>
  </si>
  <si>
    <t>Death by US law enforcement (2015)</t>
  </si>
  <si>
    <t>Trump tweets "Why didn’t the I.G., who spent 8 years with the Obama Administration (Did she Report on the failed H1N1 Swine Flu debacle where 17,000 people died?), want to talk to the Admirals, Generals, V.P. &amp; others in charge, before doing her report. Another Fake Dossier!" Christi Grimm, the IG for the Department of Health and Human Services had published a survey of US hospital's preparedness for the pandemic and found many would struggle to treat the expected number of cases due to shortages in PPE and poor testing capacity.  The WH removes her, announcing that she was being replaced by Jason Weida.  Rep Jim Jordon (R-OH) claims that any allegation that Grimm was removed "for issuing a report is simply incorrect."  In total, 5 IGs have been removed by Trump as at the end of May.</t>
  </si>
  <si>
    <t>Initial pop est from 2.1M to 18M with over 90% killed from colonisation</t>
  </si>
  <si>
    <t>Native North American Genocide</t>
  </si>
  <si>
    <t>Dr Brenda Fitzgerald resigns from the CDC after it was revealed that she held shares in tobacco companies.</t>
  </si>
  <si>
    <t>Dr Robert Redfield appointed CDC director by WH despite concerns over his conservative religious views related to AIDs policies, a history of research misconduct including when employed by the US Army and researching an AIDS/HIV vaccine, and his lack of experience in leading a public health agency</t>
  </si>
  <si>
    <t>Dr Brenda Fitzgerald appointed head of CDC by WH despite concerns expressed of her conflicts of interest with her stock portfolio and need to recuse herself on most matters of importance related to her office.</t>
  </si>
  <si>
    <t>Annual Deaths in Custody (estimate)</t>
  </si>
  <si>
    <t>From Guardian report into death by law enforcement 2015, also see https://mappingpoliceviolence.org/nationaltrends</t>
  </si>
  <si>
    <t>Congressional hearing grills the head of the CDC, Dr Robert Redfield, where he claims "There was never a moment in this nation when any health department couldn't get the test."  This was refuted by Jaime Herrera Beutler, a Republican congresswoman from Washington.  Leaks from the CDC paint a picture of the organisation obsessed with controlling the messaging and whitewashing what goes out to the public to support the Trump agenda rather than providing an honest picture of what is actually happening.</t>
  </si>
  <si>
    <t>A number of ex-military commanders and prominent republicans including Colin Powell and Senator Lisa Murkowski, George Bush and his brother Jeb, and Cindy McCain, widow of Senator John McCain all have come out to say they will not vote for Trump and some endorsing Biden.</t>
  </si>
  <si>
    <t>Dr Kerkhove attempts to explain her comments after a huge wave of pushback from around the world, so clarified that studies show ~16% of the population may be asymptomatic, but some models suggest as much as 40% of global transmission may be due to asymptomatic individuals, but there was still much unknown and much to be answered.</t>
  </si>
  <si>
    <t>Dr Maria Van Kerkhove, a WHO scientist in an interview draws a distinction between asymptomatic and presymptomatic infections and states "From the data we have, it still seems to be rare that an asymptomatic person actually transmits onward to a secondary individual, it's very rare."</t>
  </si>
  <si>
    <t>A CDC survey conducted in May of 502 adults found 39% had misused cleaning products such as bleach and disenfectants, and 25% had reported an adverse health effect that they believed was a result of the product. 19% had used bleach on food, 18% had applied household cleaners on skin, 10% had misted themselves with disinfectant sprays, 6% had inhaled vapors from the cleaners, and 4% had drunk or gargled diluted bleach solutions, soapy water, or other disinfectants.</t>
  </si>
  <si>
    <t>The number of US deaths from COVID-19 surpass the 100,000 deaths in the US from the H3N2 flu pandemic of 1968.  Trump reluctant to honour the passing of this number of people.</t>
  </si>
  <si>
    <t>Trump "We want the continued blanket lockdown to end for the states. We may have some embers or some ashes, or we may have some flames coming, but we'll put them out. We'll stomp them out.".</t>
  </si>
  <si>
    <t>University of Washington forecast a massive spike in deaths starting in the third week of August, after declining from April until then, with estimates of the number of deaths by October falling somewhere between 130,000 - 290,000. The CDC, based on averaging of 17 individual national forecasts, indicates that 124,000 - 140,000 deaths by July 4th.</t>
  </si>
  <si>
    <t>Trump flags that he will begin staging campaign rallies again, as early as 19/6 ("Juneteenth", a date that commemorates the emancipation of the last slaves at the end of the American Civil War in 1865), in Tulsa, Oklahoma (the black residents and businesses of Tulsa were attacked by whites in 1921 in what is known as the Tulsa Race Massacre with as many as 300 African Americans left dead), as well as scheduling a speech accepting the Republican nomination for the second term as President in Jacksonville, Florida on 27/8 (on the 60th anniversary 27/8, 1960 of "Ax Handle Saturday" when a group of 200 white men, some members of the KKK, attacked protesters conducting a sit-in with baseball bats and axe handles, after which the violence spread with mobs of white men attacking black Americans indiscriminately), generating criticism with respect to the current Black Lives Matter demonstrations, and requiring people attending the rallies to sign a disclaimer to not hold Trump or rally organisers liable if they contract coronavirus from attending.  Dr Fauci has warned in response that such gatherings are "a danger" and "risky". This as infection rates are rising in 18 states, with 12 experiencing spikes in hospitalizations following Memorial w/e, infection rates hold steady in 9 states, and trending down in 21.  Already, members of the National Guard who were called out in relation to the BLM marches and protests have tested positive to COVID-19, showing the risk of large gatherings.</t>
  </si>
  <si>
    <t>Trump reschedules his first "post-coronavirus" re-election rally in Tulsa to 20/6, Trump tweets "We had previously scheduled our #MAGA Rally in Tulsa, Oklahoma, for June 19th -- a big deal. Unfortunately, however, this would fall on the Juneteenth Holiday. Many of my African American friends and supporters have reached out to suggest that we consider changing the date out of respect for this Holiday, and in observance of this important occasion and all that it represents. I have therefore decided to move our rally to Saturday, June 20th, in order to honor their requests."</t>
  </si>
  <si>
    <t>A fall in unemployment for white and Hispanic people, a rise in unemployment for African-American and Asian people has Trump declaring "victory" with the economy a "rocketship" and "an affirmation of all the work we've been doing" and taking credit for the jobs.  During the same speech, Trump makes reference to need for law enforcement fairness/reform invoking George Floyd "a great day for him, it’s a great day for everybody," which gets construed as using George Floyd as blessing the good economic news, as protests head into their second weekend.  Trump tweets "Really Big Jobs Report. Great going President Trump (kidding but true)!" April had seen the worst jobless rate since monthly record keeping began in 1948.  The US economy added 2.5M jobs in May as states began to ease lockdown restrictions, after 1.4M jobs lost in March and 20.7M positions vanished in April.</t>
  </si>
  <si>
    <t>After a UK led trial showing that the generic steroid dexamethasone can reduce death rates by ~1/3 among those with the most severe cases of infection of COVID-19, the WHO has announced plans that it would update its guidance on the use of the steroid, althouth the results are still preliminary</t>
  </si>
  <si>
    <t>The number of US deaths from COVID-19 surpass the 116,000 deaths from the 1957-1958 H2N2 Flu Pandemic ("Asian Flu")</t>
  </si>
  <si>
    <t>The number of US deaths from COVID-19 surpass the 116,516 US casualties from WWI</t>
  </si>
  <si>
    <t>A judge denied an emergency motion to stop the Tulsa rally as Oklahoma records its highest new coronavirus case count to date on Monday, and will now head to the Supreme Court.  While Pence said Monday Oklahoma had "flattened the curve" and that "the number of cases in Oklahoma" had "declined precipitously," the daily number of coronavirus cases statewide have actually increased over the last week -- even as the number of tests conducted each day has declined slightly</t>
  </si>
  <si>
    <t>The FDA has revoked its emergency use authorization for the drugs hydroxychloroquine and chloroquine for the treatment of Covid-19.  "It is no longer reasonable to believe that oral formulations of HCQ and CQ may be effective in treating COVID-19, nor is it reasonable to believe that the known and potential benefits of these products outweigh their known and potential risks. Accordingly, FDA revokes the EUA for emergency use of HCQ and CQ to treat COVID-19. As of the date of this letter, the oral formulations of HCQ and CQ are no longer authorized by FDA to treat COVID-19," FDA chief scientist Denise Hinton wrote in a letter to Gary Disbrow of the Biomedical Advanced Research and Development Authority (BARDA) on Monday.  The WHO is still reviewing is use of hydroxychloroquine in its multi-country clinical study of several potential COVID-19 treatment options.</t>
  </si>
  <si>
    <t>Trump tweets "We have just reached a very sad milestone with the coronavirus pandemic deaths reaching 100,000. To all of the families &amp; friends of those who have passed, I want to extend my heartfelt sympathy &amp; love for everything that these great people stood for &amp; represent. God be with you!"</t>
  </si>
  <si>
    <t>Trump states "If we stop testing right now, we’d have very few cases, if any."</t>
  </si>
  <si>
    <t>Trump tweets "The Far Left Fake News Media, which had no Covid problem with the Rioters &amp; Looters destroying Democrat run cities, is trying to Covid Shame us on our big Rallies. Won’t work!" in relation to criticism of the forthcoming rally in Tulsa</t>
  </si>
  <si>
    <t>Trump "We’re very close to a vaccine and we’re very close to therapeutics, really good therapeutics. But even without that, I don’t even like to talk about that, because it’s fading away, it’s going to fade away, but having a vaccine would be really nice and that’s going to happen."</t>
  </si>
  <si>
    <t>Fauci warned that the infection would not "burn itself out with mere public health measures. We're going to need a vaccine for the entire world, billions and billions of doses", referring to the coronavirus pandemic as his "worst nightmare".</t>
  </si>
  <si>
    <t>Trump's reboot in Tulsa of his rallys saw 6 of his staff test positive to coronavirus and 6,200 people attend after boasting of a million people registering and expecting over 100,000, with K-pop and TikTok users claiming responsibility for registering in mass with no intention of attending.  Trump blames BLM protesters who were small in number and not disruptive.  In his speach he stated "You know testing is a double-edged sword. Here's the bad part ... when you do testing to that extent, you're going to find more people; you're going to find more cases. So I said to my people, slow the testing down please."  Afterwards his administration said he was "obviously kidding". Trump also referred to COVID-19 as "kung flu", but no mention from Trump of George Floyd or the 122,000 deaths that have occurred so far.</t>
  </si>
  <si>
    <t>New cases exceed previous peak 25/6</t>
  </si>
  <si>
    <t>New cases begin rising again</t>
  </si>
  <si>
    <t>https://www.cdc.gov/coronavirus/2019-ncov/need-extra-precautions/older-adults.html</t>
  </si>
  <si>
    <t>0-4</t>
  </si>
  <si>
    <t>5-17</t>
  </si>
  <si>
    <t>18-29</t>
  </si>
  <si>
    <t>50-64</t>
  </si>
  <si>
    <t>65-74</t>
  </si>
  <si>
    <t>75-84</t>
  </si>
  <si>
    <t>per 100,000</t>
  </si>
  <si>
    <t>%</t>
  </si>
  <si>
    <t>Identified comorbidities</t>
  </si>
  <si>
    <t>Chronic Kidney Disease</t>
  </si>
  <si>
    <t>COPD</t>
  </si>
  <si>
    <t>Immunocompromised state from organ transplant</t>
  </si>
  <si>
    <t>Obesity (BMI &gt; 30)</t>
  </si>
  <si>
    <t>Heart conditions such as heart failure, coronary artery disease, or cardimyopathies</t>
  </si>
  <si>
    <t>Sickle cell disease</t>
  </si>
  <si>
    <t>Type 2 diabetes mellitus</t>
  </si>
  <si>
    <t>Potential comorbitity risks</t>
  </si>
  <si>
    <t>Asthma (moderate to severe)</t>
  </si>
  <si>
    <t>Cerebrovascular disease</t>
  </si>
  <si>
    <t>Cystic fibrosis</t>
  </si>
  <si>
    <t>Immunocompromised state from blood or bone marrow transplant, immune deficiencies, HIV, corticosterioids use, or other immune weakening medicines</t>
  </si>
  <si>
    <t>Neurologic conditions such as dementia</t>
  </si>
  <si>
    <t>Liver Disease</t>
  </si>
  <si>
    <t>Pregnancy</t>
  </si>
  <si>
    <t>Pulmonary Fibrosis</t>
  </si>
  <si>
    <t>Thalassemia</t>
  </si>
  <si>
    <t>Type 1 diabetes mellitus</t>
  </si>
  <si>
    <t>https://www.cdc.gov/coronavirus/2019-ncov/need-extra-precautions/evidence-table.html</t>
  </si>
  <si>
    <t>As of June 25, 2020, no percentage outcome on commorbidities provided</t>
  </si>
  <si>
    <t>Hospitalisation per 100,000 population, unclear if this is 100,000 of infected population or total population.</t>
  </si>
  <si>
    <t>https://www.cdc.gov/coronavirus/2019-ncov/need-extra-precautions/racial-ethnic-minorities.html</t>
  </si>
  <si>
    <t>Non-Hispanic American Indian or Alaska Native</t>
  </si>
  <si>
    <t>Age adjusted Hospitalisation by race and ethnicity</t>
  </si>
  <si>
    <t>Non-Hispanic Black</t>
  </si>
  <si>
    <t>Hispanic or Latino</t>
  </si>
  <si>
    <t>Non-Hispanic Asian or Pacific Islander</t>
  </si>
  <si>
    <t>Non-Hispanic White</t>
  </si>
  <si>
    <t>Relative Risk Factor</t>
  </si>
  <si>
    <t>Other at risk groups</t>
  </si>
  <si>
    <t>People with disabilities</t>
  </si>
  <si>
    <t>People with developmental and behavioural issues</t>
  </si>
  <si>
    <t>People experiencing homelessness</t>
  </si>
  <si>
    <t>Pregnant people and breastfeeding</t>
  </si>
  <si>
    <t>People in nursing homes or long term care facilities</t>
  </si>
  <si>
    <t>Newly resettled refugee populations</t>
  </si>
  <si>
    <t>N.B. CDC does not list imprisoned people as at risk!</t>
  </si>
  <si>
    <t>The Trump campaign has postponed Mike Pence's campaign events in Florida and Arizona next week citing "out of an abundance of caution"</t>
  </si>
  <si>
    <t>Pence claims in the first coronavirus taskforce briefing since April remarkable progress against COVID-19. "With intervention and mitigation and calling on the American people to embrace mitigation efforts we [aimed to] slow the spread … and we said we believed we could reduce fatalities to 150,000 to 200,000. Where we are today as a nation … we have done just that, we slowed the spread, we flattened the curve and we saved lives." As 29 states see rising numbers and some states re-introducing restrictions, and 40,000 new infections on Friday, Pence said the US was reopening "safely and responsibly," blaming the increased numbers on increased testing and saying because half of new cases were under 35 it was "very encouraging news."</t>
  </si>
  <si>
    <t>Video emerges of Trump campaign volunteers/staff removing social distancing stickers from seats in the Tulsa arena prior to the rally.  Since the rally, 8 Trump staffers have tested positive for the virus and many more are in self-quarantine.</t>
  </si>
  <si>
    <t>Trump tweets ""We did a great job on CoronaVirus, including the very early ban on China, Ventilator production, and Testing, which is by far the most, and best, in the World. We saved millions of U.S. lives.! Yet the Fake News refuses to acknowledge this in a positive way. But they do give....  ....Dr. Anthony Fauci, who is with us in all ways, a very high 72% Approval Rating. So, if he is in charge along with V.P. etc., and with us doing all of these really good things, why doesn’t the Lamestream Media treat us as they should? Answer: Because they are Fake News!"</t>
  </si>
  <si>
    <t>The CDC estimate that for every diagnosis of coronavirus in the US, it is likely that 10 more people are or have been infected based on serology testing of antibodies, estimating more than 20 million of the US population have been or are infected. Roughly half of the new cases in Florida and Texas are people under the age of 35, and many of them are asymptomatic.</t>
  </si>
  <si>
    <t>The Trump administration confirmed that it will no longer fund 13 coronavirus testing sites , including 7 in Texas, even as new cases and hospitalisations increase across the US.</t>
  </si>
  <si>
    <t>The Trump administration and 18 Republican governers and attorneys general file the opening briefs with the Supreme Court in California vs Texas to repeal the health care act, which would strip 23.3 million Americans of health coverage in the midst of the pandemic.</t>
  </si>
  <si>
    <t>Pence arrives in Texas wearing a face mask and has recommended that others do the same, a significant shift in his position to date.  Alex Azar, the US health secretary warns "This is a very serious situation, the window is closing [to stop virus spread]. We have to act, and people as individuals have to act responsibly. We need to social distance, we need to wear our face coverings.."</t>
  </si>
  <si>
    <t>Tom Frieden, the former director of the CDC, saying that the southern states had reopended too soon "If you open when cases are still increasing, as many states did, it’s like leaning into a left hook. You’re going to get hit hard. And that’s what’s happening."</t>
  </si>
  <si>
    <t>Snapchat stops promoting Trump's account for inciting violence</t>
  </si>
  <si>
    <t>Twitch temporarily bans Trump for hateful conduct and Reddit removes 2,000 communities citing hate speech, including Trumps.  YouTube has banned a group of far right creators.  Facebook has faced a number of large companies pulling their advertisements for a month, some indefinitely due to its promotion and support of discrimination, bias and hate.  Unilever has said that their advertising campaign ban will also cover Instagram.  In response, many republicans have begun to switch to social app Parler, hijacking it as a conservative echo chamber.</t>
  </si>
  <si>
    <t>CDC principal deputy director Dr Anne Schuchat warned Coronavirus is spreading too quickly and too broadly for America to bring it under control as concern is being expressed of a new swine flu emerging in China "G4 EA H1N1" that has the makings of another pandemic.  Meanwhile, the EU has barred travelers from the US, Brazil, and Russia as it begins to open its borders to 14 overseas countries with the list of allowed countries to be revisited every fortnight.</t>
  </si>
  <si>
    <t>Pfizer and BioNTech have advanced a flu vaccine to human trials that have shown immune responses but also cause fever and other side effects.  In total, there are now 178 vaccines in development</t>
  </si>
  <si>
    <t>Trump campaign has cancelled plans to hold a rally in Alabama next week amid concerns about rising coronavirus infections but Trump will attend Mt Rushmore for July 4 celebrations (on July 3) where social distancing measures will not be enforced.  New York, New Jersey, and Connecticut now has 16 states where travellers from those states must enter a 14 day quarantine on arrival.</t>
  </si>
  <si>
    <t>WHO director-general Tedros Adhanom Ghebreyesus "Although many countries have made some progress globally, the pandemic is actually speeding up. We're all in this together and we're all in this for the long haul. We have already lost so much but we cannot lose hope. The six-month anniversary of the outbreak coincides with reaching 10 million cases and 500,000 deaths. This is a moment for all of us to reflect on the progress we have made and the lessons we have learned, and to recommit ourselves to doing everything we can to save lives. Six months ago, none of us could have imagined how our world -- and our lives -- would be thrown into turmoil by this new virus."</t>
  </si>
  <si>
    <t>Fauci warns that new coronavirus cases could go up to 100,000 a day if the current upward trend in cases in some states continues and highlights that there is no guarantee that there will be a safe and effective vaccine developed. Robert Redfield noted that only 5%-8% of the US population had "experienced this virus" and Fauci highlighted that it was not known how long immunity lasted.</t>
  </si>
  <si>
    <t>Trump when asked if he thought that the virus will simply disappear: "I do. I do. Yeah sure.  At some point. And I think we're going to have a vaccine very soon too.  We're headed back in a very strong fashion… And I think we're going to be very good with the coronavirus."</t>
  </si>
  <si>
    <t>Cuomo: "The buck stops on the president’s desk. He was in denial. He has been denying what every health expert in America has been saying. Come clean with the American people. At least have the courage to admit what everybody else already knows: you were wrong. Denying reality does not defeat reality. He has lived in denial, and he has been denying the scientific facts since day one. Reality wins and reality won, and now the country is suffering because of the president."</t>
  </si>
  <si>
    <t>Trump "Actually, I had a mask on. I sort of liked the way I looked, okay? I thought it was okay. Looked like the Lone Ranger. But no, I have no problem with that. I think if people feel good about it, they should do it."  Overlooking that the Lone Ranger's mask only masked the area around his eyes, not his nose or mouth, first time that Trump has shown any support for wearing a mask in relation to coronavirus</t>
  </si>
  <si>
    <t>Trump attends Independence day celebrations on eve of Independence day at Mt Rushmore against protests from the local Native Americans. Several thousand attend, most not exercising social distancing or wearing masks.  Emphasis of his speech was on protecting monuments against "a merciless campaign to wipe out our history, defame our heroes, erase our values, and indoctrinate our children." On the topic, he announced an executive order creating a "National Garden of American Heroes" to feature statues of presidents and other American figures.  He accused demonstrators, journalists, and educators of a "far-left fascism... designed to overthrow the American revolution. Their goal is to end America. In its place they want power for themselves."</t>
  </si>
  <si>
    <t>Trump lashed out at New York City Mayor Bill de Blasio for moving ahead with plans to paint “Black Lives Matter” along Fifth Avenue in Manhattan, calling the mural a "symbol of hate." Trump also criticized city officials for agreeing to shift roughly $1 billion from the police department as part of its budget for the coming year. He complained that the financial cuts, paired with plans to paint the mural along Fifth Avenue, were an affront to law enforcement.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</si>
</sst>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3"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
      <sz val="11"/>
      <name val="Calibri"/>
      <family val="2"/>
      <scheme val="minor"/>
    </font>
  </fonts>
  <fills count="2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CFF"/>
        <bgColor indexed="64"/>
      </patternFill>
    </fill>
    <fill>
      <patternFill patternType="solid">
        <fgColor rgb="FFFFE7FF"/>
        <bgColor indexed="64"/>
      </patternFill>
    </fill>
    <fill>
      <patternFill patternType="solid">
        <fgColor rgb="FFD5B9FF"/>
        <bgColor indexed="64"/>
      </patternFill>
    </fill>
    <fill>
      <patternFill patternType="solid">
        <fgColor rgb="FFE8D9FF"/>
        <bgColor indexed="64"/>
      </patternFill>
    </fill>
  </fills>
  <borders count="2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right style="dotted">
        <color indexed="64"/>
      </right>
      <top/>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65">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2" borderId="8" xfId="0" applyNumberForma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9" fillId="4" borderId="1" xfId="0" applyNumberFormat="1" applyFont="1" applyFill="1" applyBorder="1"/>
    <xf numFmtId="9" fontId="9" fillId="4" borderId="3" xfId="0" applyNumberFormat="1" applyFont="1" applyFill="1" applyBorder="1"/>
    <xf numFmtId="171" fontId="9" fillId="4" borderId="3" xfId="0" applyNumberFormat="1" applyFont="1" applyFill="1" applyBorder="1"/>
    <xf numFmtId="171" fontId="9" fillId="4" borderId="5" xfId="0" applyNumberFormat="1" applyFont="1" applyFill="1" applyBorder="1"/>
    <xf numFmtId="9" fontId="9" fillId="0" borderId="16" xfId="0" applyNumberFormat="1" applyFont="1" applyFill="1" applyBorder="1"/>
    <xf numFmtId="171" fontId="9" fillId="0" borderId="16" xfId="0" applyNumberFormat="1" applyFont="1" applyFill="1" applyBorder="1"/>
    <xf numFmtId="171" fontId="9" fillId="0" borderId="16" xfId="0" applyNumberFormat="1" applyFont="1" applyBorder="1"/>
    <xf numFmtId="171" fontId="9" fillId="0" borderId="17" xfId="0" applyNumberFormat="1" applyFont="1" applyFill="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8" xfId="0" applyNumberFormat="1" applyFont="1" applyFill="1" applyBorder="1"/>
    <xf numFmtId="0" fontId="9" fillId="0" borderId="0" xfId="0" applyFont="1" applyFill="1"/>
    <xf numFmtId="171" fontId="0" fillId="0" borderId="0" xfId="0" applyNumberFormat="1"/>
    <xf numFmtId="170" fontId="0" fillId="0" borderId="11" xfId="0" applyNumberFormat="1" applyBorder="1"/>
    <xf numFmtId="0" fontId="0" fillId="4" borderId="0" xfId="0" applyFill="1"/>
    <xf numFmtId="0" fontId="0" fillId="16" borderId="7" xfId="0" applyFill="1" applyBorder="1"/>
    <xf numFmtId="14" fontId="0" fillId="0" borderId="0" xfId="0" applyNumberFormat="1" applyBorder="1"/>
    <xf numFmtId="164" fontId="9" fillId="4" borderId="3" xfId="0" applyNumberFormat="1" applyFont="1" applyFill="1" applyBorder="1"/>
    <xf numFmtId="3" fontId="9" fillId="4" borderId="5" xfId="0" applyNumberFormat="1" applyFont="1" applyFill="1" applyBorder="1"/>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3" fontId="0" fillId="0" borderId="13" xfId="0" applyNumberFormat="1" applyFill="1" applyBorder="1" applyAlignment="1">
      <alignment horizontal="center"/>
    </xf>
    <xf numFmtId="14" fontId="0" fillId="2" borderId="0" xfId="0" applyNumberFormat="1" applyFill="1"/>
    <xf numFmtId="14" fontId="0" fillId="13" borderId="0" xfId="0" applyNumberFormat="1" applyFill="1"/>
    <xf numFmtId="0" fontId="0" fillId="13" borderId="0" xfId="0" applyFill="1"/>
    <xf numFmtId="171" fontId="0" fillId="9" borderId="3" xfId="0" applyNumberFormat="1" applyFill="1" applyBorder="1"/>
    <xf numFmtId="171" fontId="0" fillId="3" borderId="0" xfId="0" applyNumberFormat="1" applyFill="1" applyBorder="1"/>
    <xf numFmtId="0" fontId="0" fillId="2" borderId="0" xfId="0" applyFill="1"/>
    <xf numFmtId="14" fontId="0" fillId="4" borderId="19" xfId="0" applyNumberFormat="1" applyFill="1" applyBorder="1"/>
    <xf numFmtId="14" fontId="0" fillId="15" borderId="20" xfId="0" applyNumberFormat="1" applyFill="1" applyBorder="1"/>
    <xf numFmtId="14" fontId="0" fillId="16" borderId="20" xfId="0" applyNumberFormat="1" applyFill="1" applyBorder="1"/>
    <xf numFmtId="14" fontId="0" fillId="10" borderId="20" xfId="0" applyNumberFormat="1" applyFill="1" applyBorder="1"/>
    <xf numFmtId="14" fontId="0" fillId="4" borderId="20" xfId="0" applyNumberFormat="1" applyFill="1" applyBorder="1"/>
    <xf numFmtId="14" fontId="0" fillId="0" borderId="20" xfId="0" applyNumberFormat="1" applyFill="1" applyBorder="1"/>
    <xf numFmtId="14" fontId="0" fillId="8" borderId="20" xfId="0" applyNumberFormat="1" applyFill="1" applyBorder="1"/>
    <xf numFmtId="171" fontId="11" fillId="0" borderId="7" xfId="0" applyNumberFormat="1" applyFont="1" applyBorder="1"/>
    <xf numFmtId="14" fontId="0" fillId="8" borderId="14" xfId="0" applyNumberFormat="1" applyFill="1" applyBorder="1"/>
    <xf numFmtId="171" fontId="12" fillId="0" borderId="7" xfId="0" applyNumberFormat="1" applyFont="1" applyBorder="1"/>
    <xf numFmtId="166" fontId="0" fillId="9" borderId="0" xfId="0" applyNumberFormat="1" applyFill="1" applyBorder="1"/>
    <xf numFmtId="0" fontId="0" fillId="19" borderId="22" xfId="0" applyFill="1" applyBorder="1"/>
    <xf numFmtId="3" fontId="0" fillId="19" borderId="22" xfId="0" applyNumberFormat="1" applyFill="1" applyBorder="1"/>
    <xf numFmtId="3" fontId="0" fillId="20" borderId="0" xfId="0" applyNumberFormat="1" applyFill="1"/>
    <xf numFmtId="3" fontId="0" fillId="21" borderId="22" xfId="0" applyNumberFormat="1" applyFill="1" applyBorder="1"/>
    <xf numFmtId="3" fontId="0" fillId="22" borderId="0" xfId="0" applyNumberFormat="1" applyFill="1"/>
    <xf numFmtId="164" fontId="0" fillId="9" borderId="2" xfId="0" applyNumberFormat="1" applyFill="1" applyBorder="1"/>
    <xf numFmtId="17" fontId="0" fillId="0" borderId="0" xfId="0" applyNumberFormat="1" applyFill="1"/>
    <xf numFmtId="14" fontId="0" fillId="0" borderId="12" xfId="0" applyNumberFormat="1" applyFill="1" applyBorder="1"/>
    <xf numFmtId="3" fontId="0" fillId="21" borderId="19" xfId="0" applyNumberFormat="1" applyFill="1" applyBorder="1"/>
    <xf numFmtId="0" fontId="0" fillId="19" borderId="0" xfId="0" applyFill="1" applyBorder="1"/>
    <xf numFmtId="3" fontId="0" fillId="9" borderId="2" xfId="0" applyNumberFormat="1" applyFill="1" applyBorder="1"/>
    <xf numFmtId="3" fontId="0" fillId="22" borderId="0" xfId="0" applyNumberFormat="1" applyFill="1" applyBorder="1"/>
    <xf numFmtId="3" fontId="0" fillId="20" borderId="0" xfId="0" applyNumberFormat="1" applyFill="1" applyBorder="1"/>
    <xf numFmtId="0" fontId="5" fillId="0" borderId="0" xfId="1"/>
    <xf numFmtId="0" fontId="4" fillId="0" borderId="0" xfId="0" applyFont="1"/>
    <xf numFmtId="3" fontId="0" fillId="2" borderId="0" xfId="0" applyNumberFormat="1" applyFill="1"/>
    <xf numFmtId="0" fontId="0" fillId="2" borderId="8" xfId="0" applyFill="1" applyBorder="1"/>
    <xf numFmtId="14" fontId="0" fillId="2" borderId="8" xfId="0" applyNumberFormat="1" applyFill="1" applyBorder="1"/>
    <xf numFmtId="3" fontId="0" fillId="6" borderId="0" xfId="0" applyNumberFormat="1" applyFill="1"/>
    <xf numFmtId="14" fontId="0" fillId="6" borderId="0" xfId="0" applyNumberFormat="1" applyFill="1"/>
    <xf numFmtId="3" fontId="0" fillId="6" borderId="0" xfId="0" applyNumberFormat="1" applyFill="1" applyBorder="1"/>
    <xf numFmtId="10" fontId="0" fillId="6" borderId="0" xfId="0" applyNumberFormat="1" applyFill="1"/>
    <xf numFmtId="14" fontId="0" fillId="6" borderId="8" xfId="0" applyNumberFormat="1" applyFill="1" applyBorder="1"/>
    <xf numFmtId="0" fontId="0" fillId="6" borderId="8" xfId="0" applyFill="1" applyBorder="1"/>
    <xf numFmtId="0" fontId="0" fillId="0" borderId="0" xfId="0" applyFont="1"/>
    <xf numFmtId="3" fontId="0" fillId="0" borderId="8" xfId="0" applyNumberFormat="1" applyFill="1" applyBorder="1"/>
    <xf numFmtId="0" fontId="0" fillId="0" borderId="8" xfId="0" applyFill="1" applyBorder="1"/>
    <xf numFmtId="3" fontId="0" fillId="6" borderId="8" xfId="0" applyNumberFormat="1" applyFill="1" applyBorder="1"/>
    <xf numFmtId="3" fontId="0" fillId="6" borderId="0" xfId="0" applyNumberFormat="1" applyFill="1" applyAlignment="1">
      <alignment horizontal="right"/>
    </xf>
    <xf numFmtId="3" fontId="0" fillId="6" borderId="8" xfId="0" applyNumberFormat="1" applyFill="1" applyBorder="1" applyAlignment="1">
      <alignment horizontal="right"/>
    </xf>
    <xf numFmtId="3" fontId="0" fillId="0" borderId="0" xfId="0" applyNumberFormat="1" applyAlignment="1">
      <alignment horizontal="right"/>
    </xf>
    <xf numFmtId="3" fontId="0" fillId="0" borderId="8" xfId="0" applyNumberFormat="1" applyBorder="1" applyAlignment="1">
      <alignment horizontal="right"/>
    </xf>
    <xf numFmtId="0" fontId="0" fillId="6" borderId="0" xfId="0" applyFont="1" applyFill="1"/>
    <xf numFmtId="3" fontId="0" fillId="6" borderId="0" xfId="0" applyNumberFormat="1" applyFont="1" applyFill="1" applyAlignment="1">
      <alignment horizontal="right"/>
    </xf>
    <xf numFmtId="3" fontId="0" fillId="0" borderId="12" xfId="0" applyNumberFormat="1" applyBorder="1"/>
    <xf numFmtId="14" fontId="0" fillId="2" borderId="0" xfId="0" applyNumberFormat="1" applyFill="1" applyBorder="1"/>
    <xf numFmtId="0" fontId="4" fillId="0" borderId="8" xfId="0" applyFont="1" applyBorder="1" applyAlignment="1">
      <alignment wrapText="1"/>
    </xf>
    <xf numFmtId="0" fontId="0" fillId="0" borderId="0" xfId="0" applyAlignment="1">
      <alignment wrapText="1"/>
    </xf>
    <xf numFmtId="0" fontId="0" fillId="0" borderId="8" xfId="0" applyBorder="1" applyAlignment="1">
      <alignment wrapText="1"/>
    </xf>
    <xf numFmtId="0" fontId="4" fillId="0" borderId="1" xfId="0" applyFont="1" applyBorder="1" applyAlignment="1">
      <alignment wrapText="1"/>
    </xf>
    <xf numFmtId="0" fontId="4" fillId="0" borderId="7" xfId="0" applyFont="1" applyBorder="1" applyAlignment="1">
      <alignment wrapText="1"/>
    </xf>
    <xf numFmtId="0" fontId="4" fillId="0" borderId="2" xfId="0" applyFont="1" applyBorder="1" applyAlignment="1">
      <alignment wrapText="1"/>
    </xf>
    <xf numFmtId="14" fontId="0" fillId="0" borderId="3" xfId="0" applyNumberFormat="1" applyBorder="1"/>
    <xf numFmtId="0" fontId="4" fillId="0" borderId="0" xfId="0" applyFont="1" applyBorder="1"/>
    <xf numFmtId="0" fontId="4" fillId="0" borderId="3" xfId="0" applyFont="1" applyBorder="1"/>
    <xf numFmtId="165" fontId="0" fillId="6" borderId="0" xfId="0" applyNumberFormat="1" applyFill="1"/>
    <xf numFmtId="170" fontId="0" fillId="2" borderId="0" xfId="0" applyNumberFormat="1" applyFill="1"/>
    <xf numFmtId="169" fontId="0" fillId="6" borderId="0" xfId="0" applyNumberFormat="1" applyFill="1"/>
    <xf numFmtId="1" fontId="0" fillId="2" borderId="0" xfId="0" applyNumberFormat="1" applyFill="1"/>
    <xf numFmtId="0" fontId="0" fillId="6" borderId="0" xfId="0" applyFill="1" applyAlignment="1">
      <alignment horizontal="left" indent="1"/>
    </xf>
    <xf numFmtId="0" fontId="4" fillId="0" borderId="0"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0" fillId="0" borderId="0" xfId="0" applyFont="1" applyBorder="1" applyAlignment="1">
      <alignment wrapText="1"/>
    </xf>
    <xf numFmtId="0" fontId="0" fillId="0" borderId="0" xfId="0" applyAlignment="1"/>
    <xf numFmtId="17" fontId="0" fillId="2" borderId="0" xfId="0" applyNumberFormat="1" applyFill="1"/>
    <xf numFmtId="3" fontId="0" fillId="0" borderId="14" xfId="0" applyNumberFormat="1" applyBorder="1" applyAlignment="1">
      <alignment horizontal="right"/>
    </xf>
    <xf numFmtId="14" fontId="0" fillId="2" borderId="14" xfId="0" applyNumberFormat="1" applyFill="1" applyBorder="1"/>
    <xf numFmtId="10" fontId="0" fillId="0" borderId="14" xfId="0" applyNumberFormat="1" applyBorder="1"/>
    <xf numFmtId="10" fontId="0" fillId="0" borderId="0" xfId="0" applyNumberFormat="1" applyFill="1"/>
    <xf numFmtId="165" fontId="0" fillId="0" borderId="0" xfId="0" applyNumberFormat="1" applyFill="1"/>
    <xf numFmtId="167" fontId="0" fillId="6" borderId="0" xfId="0" applyNumberFormat="1" applyFill="1"/>
    <xf numFmtId="9" fontId="0" fillId="0" borderId="0" xfId="0" applyNumberFormat="1" applyFill="1"/>
    <xf numFmtId="9" fontId="0" fillId="0" borderId="0" xfId="0" applyNumberFormat="1" applyFont="1" applyBorder="1" applyAlignment="1">
      <alignment wrapText="1"/>
    </xf>
    <xf numFmtId="167" fontId="0" fillId="0" borderId="14" xfId="0" applyNumberFormat="1" applyBorder="1"/>
    <xf numFmtId="167" fontId="0" fillId="0" borderId="0" xfId="0" applyNumberFormat="1" applyFill="1"/>
    <xf numFmtId="167" fontId="0" fillId="0" borderId="8" xfId="0" applyNumberFormat="1" applyFill="1" applyBorder="1"/>
    <xf numFmtId="14" fontId="0" fillId="8" borderId="21" xfId="0" applyNumberFormat="1" applyFill="1" applyBorder="1"/>
    <xf numFmtId="3" fontId="9" fillId="3" borderId="14" xfId="0" applyNumberFormat="1" applyFont="1" applyFill="1" applyBorder="1"/>
    <xf numFmtId="170" fontId="9" fillId="3" borderId="14" xfId="0" applyNumberFormat="1" applyFont="1" applyFill="1" applyBorder="1"/>
    <xf numFmtId="170" fontId="9" fillId="18" borderId="14" xfId="0" applyNumberFormat="1" applyFont="1" applyFill="1" applyBorder="1"/>
    <xf numFmtId="3" fontId="9" fillId="8" borderId="14" xfId="0" applyNumberFormat="1" applyFont="1" applyFill="1" applyBorder="1"/>
    <xf numFmtId="3" fontId="9" fillId="2" borderId="14" xfId="0" applyNumberFormat="1" applyFont="1" applyFill="1" applyBorder="1"/>
    <xf numFmtId="0" fontId="0" fillId="0" borderId="0" xfId="0" quotePrefix="1"/>
    <xf numFmtId="171" fontId="9" fillId="0" borderId="18" xfId="0" applyNumberFormat="1" applyFont="1" applyFill="1" applyBorder="1"/>
    <xf numFmtId="9" fontId="9" fillId="0" borderId="23" xfId="0" applyNumberFormat="1" applyFont="1" applyFill="1" applyBorder="1"/>
    <xf numFmtId="171" fontId="9" fillId="0" borderId="23" xfId="0" applyNumberFormat="1" applyFont="1" applyFill="1" applyBorder="1"/>
    <xf numFmtId="3" fontId="9" fillId="0" borderId="23" xfId="0" applyNumberFormat="1" applyFont="1" applyFill="1" applyBorder="1"/>
    <xf numFmtId="14" fontId="0" fillId="0" borderId="13"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30">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8D9FF"/>
      <color rgb="FFD5B9FF"/>
      <color rgb="FFC39BFF"/>
      <color rgb="FFFFE7FF"/>
      <color rgb="FFFFCCFF"/>
      <color rgb="FFC39BE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43976.887101388886</c:v>
                </c:pt>
                <c:pt idx="1">
                  <c:v>43979.887101388886</c:v>
                </c:pt>
                <c:pt idx="2">
                  <c:v>43982.887101388886</c:v>
                </c:pt>
                <c:pt idx="3">
                  <c:v>43985.887101388886</c:v>
                </c:pt>
                <c:pt idx="4">
                  <c:v>43988.887101388886</c:v>
                </c:pt>
                <c:pt idx="5">
                  <c:v>43991.887101388886</c:v>
                </c:pt>
                <c:pt idx="6">
                  <c:v>43994.887101388886</c:v>
                </c:pt>
                <c:pt idx="7">
                  <c:v>43997.887101388886</c:v>
                </c:pt>
                <c:pt idx="8">
                  <c:v>44000.887101388886</c:v>
                </c:pt>
                <c:pt idx="9">
                  <c:v>44003.887101388886</c:v>
                </c:pt>
                <c:pt idx="10">
                  <c:v>44006.887101388886</c:v>
                </c:pt>
                <c:pt idx="11">
                  <c:v>44009.887101388886</c:v>
                </c:pt>
                <c:pt idx="12">
                  <c:v>44012.887101388886</c:v>
                </c:pt>
                <c:pt idx="13">
                  <c:v>44015.887101388886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43976.887101388886</c:v>
                </c:pt>
                <c:pt idx="1">
                  <c:v>43979.887101388886</c:v>
                </c:pt>
                <c:pt idx="2">
                  <c:v>43982.887101388886</c:v>
                </c:pt>
                <c:pt idx="3">
                  <c:v>43985.887101388886</c:v>
                </c:pt>
                <c:pt idx="4">
                  <c:v>43988.887101388886</c:v>
                </c:pt>
                <c:pt idx="5">
                  <c:v>43991.887101388886</c:v>
                </c:pt>
                <c:pt idx="6">
                  <c:v>43994.887101388886</c:v>
                </c:pt>
                <c:pt idx="7">
                  <c:v>43997.887101388886</c:v>
                </c:pt>
                <c:pt idx="8">
                  <c:v>44000.887101388886</c:v>
                </c:pt>
                <c:pt idx="9">
                  <c:v>44003.887101388886</c:v>
                </c:pt>
                <c:pt idx="10">
                  <c:v>44006.887101388886</c:v>
                </c:pt>
                <c:pt idx="11">
                  <c:v>44009.887101388886</c:v>
                </c:pt>
                <c:pt idx="12">
                  <c:v>44012.887101388886</c:v>
                </c:pt>
                <c:pt idx="13">
                  <c:v>44015.887101388886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49.689440993788821</c:v>
                </c:pt>
                <c:pt idx="1">
                  <c:v>99.378881987577643</c:v>
                </c:pt>
                <c:pt idx="2">
                  <c:v>198.75776397515529</c:v>
                </c:pt>
                <c:pt idx="3">
                  <c:v>397.51552795031057</c:v>
                </c:pt>
                <c:pt idx="4">
                  <c:v>795.03105590062114</c:v>
                </c:pt>
                <c:pt idx="5">
                  <c:v>1590.0621118012423</c:v>
                </c:pt>
                <c:pt idx="6">
                  <c:v>3180.1242236024846</c:v>
                </c:pt>
                <c:pt idx="7">
                  <c:v>6360.2484472049691</c:v>
                </c:pt>
                <c:pt idx="8">
                  <c:v>12720.496894409938</c:v>
                </c:pt>
                <c:pt idx="9">
                  <c:v>25440.993788819876</c:v>
                </c:pt>
                <c:pt idx="10">
                  <c:v>50881.987577639753</c:v>
                </c:pt>
                <c:pt idx="11">
                  <c:v>101763.97515527951</c:v>
                </c:pt>
                <c:pt idx="12">
                  <c:v>203527.95031055901</c:v>
                </c:pt>
                <c:pt idx="13">
                  <c:v>407055.90062111802</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43976.887101388886</c:v>
                </c:pt>
                <c:pt idx="1">
                  <c:v>43979.887101388886</c:v>
                </c:pt>
                <c:pt idx="2">
                  <c:v>43982.887101388886</c:v>
                </c:pt>
                <c:pt idx="3">
                  <c:v>43985.887101388886</c:v>
                </c:pt>
                <c:pt idx="4">
                  <c:v>43988.887101388886</c:v>
                </c:pt>
                <c:pt idx="5">
                  <c:v>43991.887101388886</c:v>
                </c:pt>
                <c:pt idx="6">
                  <c:v>43994.887101388886</c:v>
                </c:pt>
                <c:pt idx="7">
                  <c:v>43997.887101388886</c:v>
                </c:pt>
                <c:pt idx="8">
                  <c:v>44000.887101388886</c:v>
                </c:pt>
                <c:pt idx="9">
                  <c:v>44003.887101388886</c:v>
                </c:pt>
                <c:pt idx="10">
                  <c:v>44006.887101388886</c:v>
                </c:pt>
                <c:pt idx="11">
                  <c:v>44009.887101388886</c:v>
                </c:pt>
                <c:pt idx="12">
                  <c:v>44012.887101388886</c:v>
                </c:pt>
                <c:pt idx="13">
                  <c:v>44015.887101388886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21.739130434782609</c:v>
                </c:pt>
                <c:pt idx="4">
                  <c:v>43.478260869565219</c:v>
                </c:pt>
                <c:pt idx="5">
                  <c:v>86.956521739130437</c:v>
                </c:pt>
                <c:pt idx="6">
                  <c:v>173.91304347826087</c:v>
                </c:pt>
                <c:pt idx="7">
                  <c:v>347.82608695652175</c:v>
                </c:pt>
                <c:pt idx="8">
                  <c:v>695.6521739130435</c:v>
                </c:pt>
                <c:pt idx="9">
                  <c:v>1391.304347826087</c:v>
                </c:pt>
                <c:pt idx="10">
                  <c:v>2782.608695652174</c:v>
                </c:pt>
                <c:pt idx="11">
                  <c:v>5565.217391304348</c:v>
                </c:pt>
                <c:pt idx="12">
                  <c:v>11130.434782608696</c:v>
                </c:pt>
                <c:pt idx="13">
                  <c:v>22260.869565217392</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Projections!$A$335</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Projections!$P$334:$BK$334</c15:sqref>
                  </c15:fullRef>
                </c:ext>
              </c:extLst>
              <c:f>Projections!$P$334:$AQ$334</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numCache>
            </c:numRef>
          </c:cat>
          <c:val>
            <c:numRef>
              <c:extLst>
                <c:ext xmlns:c15="http://schemas.microsoft.com/office/drawing/2012/chart" uri="{02D57815-91ED-43cb-92C2-25804820EDAC}">
                  <c15:fullRef>
                    <c15:sqref>Projections!$P$335:$BK$335</c15:sqref>
                  </c15:fullRef>
                </c:ext>
              </c:extLst>
              <c:f>Projections!$P$335:$AQ$335</c:f>
              <c:numCache>
                <c:formatCode>#,##0_ ;[Red]\-#,##0\ </c:formatCode>
                <c:ptCount val="28"/>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pt idx="24">
                  <c:v>2867200</c:v>
                </c:pt>
                <c:pt idx="25">
                  <c:v>3276800</c:v>
                </c:pt>
                <c:pt idx="26">
                  <c:v>3686400</c:v>
                </c:pt>
                <c:pt idx="27">
                  <c:v>4096000</c:v>
                </c:pt>
              </c:numCache>
            </c:numRef>
          </c:val>
          <c:smooth val="0"/>
          <c:extLst>
            <c:ext xmlns:c16="http://schemas.microsoft.com/office/drawing/2014/chart" uri="{C3380CC4-5D6E-409C-BE32-E72D297353CC}">
              <c16:uniqueId val="{00000004-8BCC-427B-903C-670C749E04E9}"/>
            </c:ext>
          </c:extLst>
        </c:ser>
        <c:ser>
          <c:idx val="1"/>
          <c:order val="1"/>
          <c:tx>
            <c:strRef>
              <c:f>Projections!$A$359</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Projections!$P$334:$BK$334</c15:sqref>
                  </c15:fullRef>
                </c:ext>
              </c:extLst>
              <c:f>Projections!$P$334:$AQ$334</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numCache>
            </c:numRef>
          </c:cat>
          <c:val>
            <c:numRef>
              <c:extLst>
                <c:ext xmlns:c15="http://schemas.microsoft.com/office/drawing/2012/chart" uri="{02D57815-91ED-43cb-92C2-25804820EDAC}">
                  <c15:fullRef>
                    <c15:sqref>Projections!$P$359:$BK$359</c15:sqref>
                  </c15:fullRef>
                </c:ext>
              </c:extLst>
              <c:f>Projections!$P$359:$AQ$359</c:f>
              <c:numCache>
                <c:formatCode>General</c:formatCode>
                <c:ptCount val="28"/>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2464771</c:v>
                </c:pt>
                <c:pt idx="24" formatCode="#,##0">
                  <c:v>2890588</c:v>
                </c:pt>
                <c:pt idx="25" formatCode="#,##0">
                  <c:v>3276800</c:v>
                </c:pt>
                <c:pt idx="26" formatCode="#,##0">
                  <c:v>3686400</c:v>
                </c:pt>
                <c:pt idx="27" formatCode="#,##0">
                  <c:v>4096000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Projections!$A$349</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Projections!$P$334:$BK$334</c15:sqref>
                  </c15:fullRef>
                </c:ext>
              </c:extLst>
              <c:f>Projections!$P$334:$AQ$334</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numCache>
            </c:numRef>
          </c:cat>
          <c:val>
            <c:numRef>
              <c:extLst>
                <c:ext xmlns:c15="http://schemas.microsoft.com/office/drawing/2012/chart" uri="{02D57815-91ED-43cb-92C2-25804820EDAC}">
                  <c15:fullRef>
                    <c15:sqref>Projections!$P$349:$BK$349</c15:sqref>
                  </c15:fullRef>
                </c:ext>
              </c:extLst>
              <c:f>Projections!$P$349:$AQ$349</c:f>
              <c:numCache>
                <c:formatCode>#,##0_ ;[Red]\-#,##0\ </c:formatCode>
                <c:ptCount val="28"/>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29440</c:v>
                </c:pt>
                <c:pt idx="16">
                  <c:v>35328</c:v>
                </c:pt>
                <c:pt idx="17">
                  <c:v>41216</c:v>
                </c:pt>
                <c:pt idx="18">
                  <c:v>47104</c:v>
                </c:pt>
                <c:pt idx="19">
                  <c:v>60293.119999999995</c:v>
                </c:pt>
                <c:pt idx="20">
                  <c:v>70656</c:v>
                </c:pt>
                <c:pt idx="21">
                  <c:v>82432</c:v>
                </c:pt>
                <c:pt idx="22">
                  <c:v>94208</c:v>
                </c:pt>
                <c:pt idx="23">
                  <c:v>113049.59999999999</c:v>
                </c:pt>
                <c:pt idx="24">
                  <c:v>131891.20000000001</c:v>
                </c:pt>
                <c:pt idx="25">
                  <c:v>150732.79999999999</c:v>
                </c:pt>
                <c:pt idx="26">
                  <c:v>169574.39999999999</c:v>
                </c:pt>
                <c:pt idx="27">
                  <c:v>188416</c:v>
                </c:pt>
              </c:numCache>
            </c:numRef>
          </c:val>
          <c:smooth val="0"/>
          <c:extLst>
            <c:ext xmlns:c16="http://schemas.microsoft.com/office/drawing/2014/chart" uri="{C3380CC4-5D6E-409C-BE32-E72D297353CC}">
              <c16:uniqueId val="{00000000-50BE-40C1-B679-81AF0BCE3FCD}"/>
            </c:ext>
          </c:extLst>
        </c:ser>
        <c:ser>
          <c:idx val="1"/>
          <c:order val="1"/>
          <c:tx>
            <c:strRef>
              <c:f>Projections!$A$363</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Projections!$P$334:$BK$334</c15:sqref>
                  </c15:fullRef>
                </c:ext>
              </c:extLst>
              <c:f>Projections!$P$334:$AQ$334</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numCache>
            </c:numRef>
          </c:cat>
          <c:val>
            <c:numRef>
              <c:extLst>
                <c:ext xmlns:c15="http://schemas.microsoft.com/office/drawing/2012/chart" uri="{02D57815-91ED-43cb-92C2-25804820EDAC}">
                  <c15:fullRef>
                    <c15:sqref>Projections!$P$363:$BK$363</c15:sqref>
                  </c15:fullRef>
                </c:ext>
              </c:extLst>
              <c:f>Projections!$P$363:$AQ$363</c:f>
              <c:numCache>
                <c:formatCode>General</c:formatCode>
                <c:ptCount val="28"/>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126879</c:v>
                </c:pt>
                <c:pt idx="24" formatCode="#,##0">
                  <c:v>132101</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Projections!$A$345</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Projections!$P$345:$BK$345</c15:sqref>
                  </c15:fullRef>
                </c:ext>
              </c:extLst>
              <c:f>Projections!$P$345:$AV$345</c:f>
              <c:numCache>
                <c:formatCode>#,##0_ ;[Red]\-#,##0\ </c:formatCode>
                <c:ptCount val="33"/>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307214.83534303075</c:v>
                </c:pt>
                <c:pt idx="20">
                  <c:v>366581.47241659305</c:v>
                </c:pt>
                <c:pt idx="21">
                  <c:v>462110.35835268447</c:v>
                </c:pt>
                <c:pt idx="22">
                  <c:v>417421.75695197133</c:v>
                </c:pt>
                <c:pt idx="23">
                  <c:v>776601.23678178014</c:v>
                </c:pt>
                <c:pt idx="24">
                  <c:v>535576.87736278086</c:v>
                </c:pt>
                <c:pt idx="25">
                  <c:v>1505283.6282735416</c:v>
                </c:pt>
                <c:pt idx="26">
                  <c:v>1007486.2274340492</c:v>
                </c:pt>
                <c:pt idx="27">
                  <c:v>1081162.9236269523</c:v>
                </c:pt>
                <c:pt idx="28">
                  <c:v>2988353.8042221214</c:v>
                </c:pt>
                <c:pt idx="29">
                  <c:v>2980642.3503831089</c:v>
                </c:pt>
                <c:pt idx="30">
                  <c:v>3016801.6222042437</c:v>
                </c:pt>
                <c:pt idx="31">
                  <c:v>3080280.2359318747</c:v>
                </c:pt>
                <c:pt idx="32">
                  <c:v>3161824.1117100432</c:v>
                </c:pt>
              </c:numCache>
            </c:numRef>
          </c:val>
          <c:smooth val="0"/>
          <c:extLst>
            <c:ext xmlns:c16="http://schemas.microsoft.com/office/drawing/2014/chart" uri="{C3380CC4-5D6E-409C-BE32-E72D297353CC}">
              <c16:uniqueId val="{00000000-A3C2-4B4C-996C-CDB1A252886F}"/>
            </c:ext>
          </c:extLst>
        </c:ser>
        <c:ser>
          <c:idx val="2"/>
          <c:order val="1"/>
          <c:tx>
            <c:strRef>
              <c:f>Projections!$A$346</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Projections!$P$346:$BK$346</c15:sqref>
                  </c15:fullRef>
                </c:ext>
              </c:extLst>
              <c:f>Projections!$P$346:$AV$346</c:f>
              <c:numCache>
                <c:formatCode>#,##0_ ;[Red]\-#,##0\ </c:formatCode>
                <c:ptCount val="33"/>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262773.41927126469</c:v>
                </c:pt>
                <c:pt idx="20">
                  <c:v>177691.1939028544</c:v>
                </c:pt>
                <c:pt idx="21">
                  <c:v>192853.94336541693</c:v>
                </c:pt>
                <c:pt idx="22">
                  <c:v>253344.27000725653</c:v>
                </c:pt>
                <c:pt idx="23">
                  <c:v>426999.78428715601</c:v>
                </c:pt>
                <c:pt idx="24">
                  <c:v>209737.36799327366</c:v>
                </c:pt>
                <c:pt idx="25">
                  <c:v>1159412.245753163</c:v>
                </c:pt>
                <c:pt idx="26">
                  <c:v>578099.21557629062</c:v>
                </c:pt>
                <c:pt idx="27">
                  <c:v>354751.36075203074</c:v>
                </c:pt>
                <c:pt idx="28">
                  <c:v>2244323.9956615889</c:v>
                </c:pt>
                <c:pt idx="29">
                  <c:v>1377097.4482461184</c:v>
                </c:pt>
                <c:pt idx="30">
                  <c:v>1351793.9528094539</c:v>
                </c:pt>
                <c:pt idx="31">
                  <c:v>1342206.0075092206</c:v>
                </c:pt>
                <c:pt idx="32">
                  <c:v>1343158.8631907988</c:v>
                </c:pt>
              </c:numCache>
            </c:numRef>
          </c:val>
          <c:smooth val="0"/>
          <c:extLst>
            <c:ext xmlns:c16="http://schemas.microsoft.com/office/drawing/2014/chart" uri="{C3380CC4-5D6E-409C-BE32-E72D297353CC}">
              <c16:uniqueId val="{00000001-A3C2-4B4C-996C-CDB1A252886F}"/>
            </c:ext>
          </c:extLst>
        </c:ser>
        <c:ser>
          <c:idx val="0"/>
          <c:order val="2"/>
          <c:tx>
            <c:strRef>
              <c:f>Projections!$A$347</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Projections!$P$347:$BK$347</c15:sqref>
                  </c15:fullRef>
                </c:ext>
              </c:extLst>
              <c:f>Projections!$P$347:$AV$347</c:f>
              <c:numCache>
                <c:formatCode>#,##0_ ;[Red]\-#,##0\ </c:formatCode>
                <c:ptCount val="33"/>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44728.891495247604</c:v>
                </c:pt>
                <c:pt idx="20">
                  <c:v>144907.46798650004</c:v>
                </c:pt>
                <c:pt idx="21">
                  <c:v>181438.18611984747</c:v>
                </c:pt>
                <c:pt idx="22">
                  <c:v>173150.71064765757</c:v>
                </c:pt>
                <c:pt idx="23">
                  <c:v>100993.5051653088</c:v>
                </c:pt>
                <c:pt idx="24">
                  <c:v>269572.95339470595</c:v>
                </c:pt>
                <c:pt idx="25">
                  <c:v>219028.53962313666</c:v>
                </c:pt>
                <c:pt idx="26">
                  <c:v>157573.65804915063</c:v>
                </c:pt>
                <c:pt idx="27">
                  <c:v>176227.45834120753</c:v>
                </c:pt>
                <c:pt idx="28">
                  <c:v>504467.2356295627</c:v>
                </c:pt>
                <c:pt idx="29">
                  <c:v>532293.27737563313</c:v>
                </c:pt>
                <c:pt idx="30">
                  <c:v>562560.37901915691</c:v>
                </c:pt>
                <c:pt idx="31">
                  <c:v>594442.6733543023</c:v>
                </c:pt>
                <c:pt idx="32">
                  <c:v>627439.75900956581</c:v>
                </c:pt>
              </c:numCache>
            </c:numRef>
          </c:val>
          <c:smooth val="0"/>
          <c:extLst>
            <c:ext xmlns:c16="http://schemas.microsoft.com/office/drawing/2014/chart" uri="{C3380CC4-5D6E-409C-BE32-E72D297353CC}">
              <c16:uniqueId val="{00000002-A3C2-4B4C-996C-CDB1A252886F}"/>
            </c:ext>
          </c:extLst>
        </c:ser>
        <c:ser>
          <c:idx val="4"/>
          <c:order val="3"/>
          <c:tx>
            <c:strRef>
              <c:f>Projections!$A$348</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Projections!$P$348:$BK$348</c15:sqref>
                  </c15:fullRef>
                </c:ext>
              </c:extLst>
              <c:f>Projections!$P$348:$AV$348</c:f>
              <c:numCache>
                <c:formatCode>#,##0_ ;[Red]\-#,##0\ </c:formatCode>
                <c:ptCount val="33"/>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31563.302331317282</c:v>
                </c:pt>
                <c:pt idx="20">
                  <c:v>105867.17701365154</c:v>
                </c:pt>
                <c:pt idx="21">
                  <c:v>125567.8816945006</c:v>
                </c:pt>
                <c:pt idx="22">
                  <c:v>16518.266314172652</c:v>
                </c:pt>
                <c:pt idx="23">
                  <c:v>17852.036103622348</c:v>
                </c:pt>
                <c:pt idx="24">
                  <c:v>0</c:v>
                </c:pt>
                <c:pt idx="25">
                  <c:v>0</c:v>
                </c:pt>
                <c:pt idx="26">
                  <c:v>25769.631393685995</c:v>
                </c:pt>
                <c:pt idx="27">
                  <c:v>0</c:v>
                </c:pt>
                <c:pt idx="28">
                  <c:v>178220.76324596221</c:v>
                </c:pt>
                <c:pt idx="29">
                  <c:v>0</c:v>
                </c:pt>
                <c:pt idx="30">
                  <c:v>0</c:v>
                </c:pt>
                <c:pt idx="31">
                  <c:v>0</c:v>
                </c:pt>
                <c:pt idx="32">
                  <c:v>0</c:v>
                </c:pt>
              </c:numCache>
            </c:numRef>
          </c:val>
          <c:smooth val="0"/>
          <c:extLst>
            <c:ext xmlns:c16="http://schemas.microsoft.com/office/drawing/2014/chart" uri="{C3380CC4-5D6E-409C-BE32-E72D297353CC}">
              <c16:uniqueId val="{00000003-A3C2-4B4C-996C-CDB1A252886F}"/>
            </c:ext>
          </c:extLst>
        </c:ser>
        <c:ser>
          <c:idx val="1"/>
          <c:order val="4"/>
          <c:tx>
            <c:strRef>
              <c:f>Projections!$A$349</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Projections!$P$349:$BK$349</c15:sqref>
                  </c15:fullRef>
                </c:ext>
              </c:extLst>
              <c:f>Projections!$P$349:$AV$349</c:f>
              <c:numCache>
                <c:formatCode>#,##0_ ;[Red]\-#,##0\ </c:formatCode>
                <c:ptCount val="33"/>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29440</c:v>
                </c:pt>
                <c:pt idx="16">
                  <c:v>35328</c:v>
                </c:pt>
                <c:pt idx="17">
                  <c:v>41216</c:v>
                </c:pt>
                <c:pt idx="18">
                  <c:v>47104</c:v>
                </c:pt>
                <c:pt idx="19">
                  <c:v>60293.119999999995</c:v>
                </c:pt>
                <c:pt idx="20">
                  <c:v>70656</c:v>
                </c:pt>
                <c:pt idx="21">
                  <c:v>82432</c:v>
                </c:pt>
                <c:pt idx="22">
                  <c:v>94208</c:v>
                </c:pt>
                <c:pt idx="23">
                  <c:v>113049.59999999999</c:v>
                </c:pt>
                <c:pt idx="24">
                  <c:v>131891.20000000001</c:v>
                </c:pt>
                <c:pt idx="25">
                  <c:v>150732.79999999999</c:v>
                </c:pt>
                <c:pt idx="26">
                  <c:v>169574.39999999999</c:v>
                </c:pt>
                <c:pt idx="27">
                  <c:v>188416</c:v>
                </c:pt>
                <c:pt idx="28">
                  <c:v>226099.19999999998</c:v>
                </c:pt>
                <c:pt idx="29">
                  <c:v>263782.40000000002</c:v>
                </c:pt>
                <c:pt idx="30">
                  <c:v>301465.59999999998</c:v>
                </c:pt>
                <c:pt idx="31">
                  <c:v>339148.79999999999</c:v>
                </c:pt>
                <c:pt idx="32">
                  <c:v>376832</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Projections!$A$367</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Projections!$P$367:$BK$367</c15:sqref>
                  </c15:fullRef>
                </c:ext>
              </c:extLst>
              <c:f>Projections!$P$367:$AV$367</c:f>
              <c:numCache>
                <c:formatCode>#,##0</c:formatCode>
                <c:ptCount val="33"/>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numCache>
            </c:numRef>
          </c:val>
          <c:smooth val="0"/>
          <c:extLst>
            <c:ext xmlns:c16="http://schemas.microsoft.com/office/drawing/2014/chart" uri="{C3380CC4-5D6E-409C-BE32-E72D297353CC}">
              <c16:uniqueId val="{00000000-7972-43AB-83E8-C2C99B4277B0}"/>
            </c:ext>
          </c:extLst>
        </c:ser>
        <c:ser>
          <c:idx val="2"/>
          <c:order val="1"/>
          <c:tx>
            <c:strRef>
              <c:f>Projections!$A$369</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Projections!$P$369:$BK$369</c15:sqref>
                  </c15:fullRef>
                </c:ext>
              </c:extLst>
              <c:f>Projections!$P$369:$AV$369</c:f>
              <c:numCache>
                <c:formatCode>#,##0</c:formatCode>
                <c:ptCount val="33"/>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pt idx="28">
                  <c:v>524017.91793585377</c:v>
                </c:pt>
                <c:pt idx="29">
                  <c:v>611354.23759182938</c:v>
                </c:pt>
                <c:pt idx="30">
                  <c:v>698690.55724780506</c:v>
                </c:pt>
                <c:pt idx="31">
                  <c:v>786026.87690378062</c:v>
                </c:pt>
                <c:pt idx="32">
                  <c:v>873363.1965597563</c:v>
                </c:pt>
              </c:numCache>
            </c:numRef>
          </c:val>
          <c:smooth val="0"/>
          <c:extLst>
            <c:ext xmlns:c16="http://schemas.microsoft.com/office/drawing/2014/chart" uri="{C3380CC4-5D6E-409C-BE32-E72D297353CC}">
              <c16:uniqueId val="{00000001-7972-43AB-83E8-C2C99B4277B0}"/>
            </c:ext>
          </c:extLst>
        </c:ser>
        <c:ser>
          <c:idx val="4"/>
          <c:order val="2"/>
          <c:tx>
            <c:strRef>
              <c:f>Projections!$A$371</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Projections!$P$371:$BK$371</c15:sqref>
                  </c15:fullRef>
                </c:ext>
              </c:extLst>
              <c:f>Projections!$P$371:$AV$371</c:f>
              <c:numCache>
                <c:formatCode>#,##0</c:formatCode>
                <c:ptCount val="33"/>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pt idx="28">
                  <c:v>822576.02580182755</c:v>
                </c:pt>
                <c:pt idx="29">
                  <c:v>959672.03010213212</c:v>
                </c:pt>
                <c:pt idx="30">
                  <c:v>1096768.0344024368</c:v>
                </c:pt>
                <c:pt idx="31">
                  <c:v>1233864.0387027413</c:v>
                </c:pt>
                <c:pt idx="32">
                  <c:v>1370960.043003046</c:v>
                </c:pt>
              </c:numCache>
            </c:numRef>
          </c:val>
          <c:smooth val="0"/>
          <c:extLst>
            <c:ext xmlns:c16="http://schemas.microsoft.com/office/drawing/2014/chart" uri="{C3380CC4-5D6E-409C-BE32-E72D297353CC}">
              <c16:uniqueId val="{00000002-7972-43AB-83E8-C2C99B4277B0}"/>
            </c:ext>
          </c:extLst>
        </c:ser>
        <c:ser>
          <c:idx val="6"/>
          <c:order val="3"/>
          <c:tx>
            <c:strRef>
              <c:f>Projections!$A$373</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Projections!$P$373:$BK$373</c15:sqref>
                  </c15:fullRef>
                </c:ext>
              </c:extLst>
              <c:f>Projections!$P$373:$AV$373</c:f>
              <c:numCache>
                <c:formatCode>#,##0</c:formatCode>
                <c:ptCount val="33"/>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pt idx="28">
                  <c:v>763568.96613510128</c:v>
                </c:pt>
                <c:pt idx="29">
                  <c:v>890830.46049095143</c:v>
                </c:pt>
                <c:pt idx="30">
                  <c:v>1018091.9548468017</c:v>
                </c:pt>
                <c:pt idx="31">
                  <c:v>1145353.4492026519</c:v>
                </c:pt>
                <c:pt idx="32">
                  <c:v>1272614.943558502</c:v>
                </c:pt>
              </c:numCache>
            </c:numRef>
          </c:val>
          <c:smooth val="0"/>
          <c:extLst>
            <c:ext xmlns:c16="http://schemas.microsoft.com/office/drawing/2014/chart" uri="{C3380CC4-5D6E-409C-BE32-E72D297353CC}">
              <c16:uniqueId val="{00000003-7972-43AB-83E8-C2C99B4277B0}"/>
            </c:ext>
          </c:extLst>
        </c:ser>
        <c:ser>
          <c:idx val="8"/>
          <c:order val="4"/>
          <c:tx>
            <c:strRef>
              <c:f>Projections!$A$375</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Projections!$P$375:$BK$375</c15:sqref>
                  </c15:fullRef>
                </c:ext>
              </c:extLst>
              <c:f>Projections!$P$375:$AV$375</c:f>
              <c:numCache>
                <c:formatCode>#,##0</c:formatCode>
                <c:ptCount val="33"/>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pt idx="28">
                  <c:v>637628.5253538792</c:v>
                </c:pt>
                <c:pt idx="29">
                  <c:v>743899.94624619244</c:v>
                </c:pt>
                <c:pt idx="30">
                  <c:v>850171.36713850556</c:v>
                </c:pt>
                <c:pt idx="31">
                  <c:v>956442.7880308188</c:v>
                </c:pt>
                <c:pt idx="32">
                  <c:v>1062714.2089231319</c:v>
                </c:pt>
              </c:numCache>
            </c:numRef>
          </c:val>
          <c:smooth val="0"/>
          <c:extLst>
            <c:ext xmlns:c16="http://schemas.microsoft.com/office/drawing/2014/chart" uri="{C3380CC4-5D6E-409C-BE32-E72D297353CC}">
              <c16:uniqueId val="{00000004-7972-43AB-83E8-C2C99B4277B0}"/>
            </c:ext>
          </c:extLst>
        </c:ser>
        <c:ser>
          <c:idx val="10"/>
          <c:order val="5"/>
          <c:tx>
            <c:strRef>
              <c:f>Projections!$A$377</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Projections!$P$377:$BK$377</c15:sqref>
                  </c15:fullRef>
                </c:ext>
              </c:extLst>
              <c:f>Projections!$P$377:$AV$377</c:f>
              <c:numCache>
                <c:formatCode>#,##0</c:formatCode>
                <c:ptCount val="33"/>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pt idx="28">
                  <c:v>773256.69234904135</c:v>
                </c:pt>
                <c:pt idx="29">
                  <c:v>902132.80774054828</c:v>
                </c:pt>
                <c:pt idx="30">
                  <c:v>1031008.9231320551</c:v>
                </c:pt>
                <c:pt idx="31">
                  <c:v>1159885.038523562</c:v>
                </c:pt>
                <c:pt idx="32">
                  <c:v>1288761.1539150688</c:v>
                </c:pt>
              </c:numCache>
            </c:numRef>
          </c:val>
          <c:smooth val="0"/>
          <c:extLst>
            <c:ext xmlns:c16="http://schemas.microsoft.com/office/drawing/2014/chart" uri="{C3380CC4-5D6E-409C-BE32-E72D297353CC}">
              <c16:uniqueId val="{00000005-7972-43AB-83E8-C2C99B4277B0}"/>
            </c:ext>
          </c:extLst>
        </c:ser>
        <c:ser>
          <c:idx val="12"/>
          <c:order val="6"/>
          <c:tx>
            <c:strRef>
              <c:f>Projections!$A$379</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Projections!$P$379:$BK$379</c15:sqref>
                  </c15:fullRef>
                </c:ext>
              </c:extLst>
              <c:f>Projections!$P$379:$AV$379</c:f>
              <c:numCache>
                <c:formatCode>#,##0</c:formatCode>
                <c:ptCount val="33"/>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pt idx="28">
                  <c:v>1062127.074001075</c:v>
                </c:pt>
                <c:pt idx="29">
                  <c:v>1239148.2530012543</c:v>
                </c:pt>
                <c:pt idx="30">
                  <c:v>1416169.4320014333</c:v>
                </c:pt>
                <c:pt idx="31">
                  <c:v>1593190.6110016126</c:v>
                </c:pt>
                <c:pt idx="32">
                  <c:v>1770211.7900017917</c:v>
                </c:pt>
              </c:numCache>
            </c:numRef>
          </c:val>
          <c:smooth val="0"/>
          <c:extLst>
            <c:ext xmlns:c16="http://schemas.microsoft.com/office/drawing/2014/chart" uri="{C3380CC4-5D6E-409C-BE32-E72D297353CC}">
              <c16:uniqueId val="{00000006-7972-43AB-83E8-C2C99B4277B0}"/>
            </c:ext>
          </c:extLst>
        </c:ser>
        <c:ser>
          <c:idx val="14"/>
          <c:order val="7"/>
          <c:tx>
            <c:strRef>
              <c:f>Projections!$A$381</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Projections!$P$381:$BK$381</c15:sqref>
                  </c15:fullRef>
                </c:ext>
              </c:extLst>
              <c:f>Projections!$P$381:$AV$381</c:f>
              <c:numCache>
                <c:formatCode>#,##0</c:formatCode>
                <c:ptCount val="33"/>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numCache>
            </c:numRef>
          </c:val>
          <c:smooth val="0"/>
          <c:extLst>
            <c:ext xmlns:c16="http://schemas.microsoft.com/office/drawing/2014/chart" uri="{C3380CC4-5D6E-409C-BE32-E72D297353CC}">
              <c16:uniqueId val="{00000007-7972-43AB-83E8-C2C99B4277B0}"/>
            </c:ext>
          </c:extLst>
        </c:ser>
        <c:ser>
          <c:idx val="16"/>
          <c:order val="8"/>
          <c:tx>
            <c:strRef>
              <c:f>Projections!$A$383</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Projections!$P$383:$BK$383</c15:sqref>
                  </c15:fullRef>
                </c:ext>
              </c:extLst>
              <c:f>Projections!$P$383:$AV$383</c:f>
              <c:numCache>
                <c:formatCode>#,##0</c:formatCode>
                <c:ptCount val="33"/>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pt idx="28">
                  <c:v>48438.631069700765</c:v>
                </c:pt>
                <c:pt idx="29">
                  <c:v>56511.736247984227</c:v>
                </c:pt>
                <c:pt idx="30">
                  <c:v>64584.841426267689</c:v>
                </c:pt>
                <c:pt idx="31">
                  <c:v>72657.946604551151</c:v>
                </c:pt>
                <c:pt idx="32">
                  <c:v>80731.051782834606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Projections!$A$367</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Projections!$P$368:$BK$368</c15:sqref>
                  </c15:fullRef>
                </c:ext>
              </c:extLst>
              <c:f>Projections!$P$368:$AV$368</c:f>
              <c:numCache>
                <c:formatCode>#,##0</c:formatCode>
                <c:ptCount val="33"/>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pt idx="28">
                  <c:v>20985.376384160543</c:v>
                </c:pt>
                <c:pt idx="29">
                  <c:v>24482.939114853965</c:v>
                </c:pt>
                <c:pt idx="30">
                  <c:v>27980.501845547391</c:v>
                </c:pt>
                <c:pt idx="31">
                  <c:v>31478.064576240813</c:v>
                </c:pt>
                <c:pt idx="32">
                  <c:v>34975.627306934235</c:v>
                </c:pt>
              </c:numCache>
            </c:numRef>
          </c:val>
          <c:smooth val="0"/>
          <c:extLst>
            <c:ext xmlns:c16="http://schemas.microsoft.com/office/drawing/2014/chart" uri="{C3380CC4-5D6E-409C-BE32-E72D297353CC}">
              <c16:uniqueId val="{00000000-FE50-482D-905D-7C3B099138E4}"/>
            </c:ext>
          </c:extLst>
        </c:ser>
        <c:ser>
          <c:idx val="3"/>
          <c:order val="1"/>
          <c:tx>
            <c:strRef>
              <c:f>Projections!$A$369</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Projections!$P$370:$BK$370</c15:sqref>
                  </c15:fullRef>
                </c:ext>
              </c:extLst>
              <c:f>Projections!$P$370:$AV$370</c:f>
              <c:numCache>
                <c:formatCode>#,##0</c:formatCode>
                <c:ptCount val="33"/>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pt idx="28">
                  <c:v>41921.433434868304</c:v>
                </c:pt>
                <c:pt idx="29">
                  <c:v>48908.339007346352</c:v>
                </c:pt>
                <c:pt idx="30">
                  <c:v>55895.244579824408</c:v>
                </c:pt>
                <c:pt idx="31">
                  <c:v>62882.150152302449</c:v>
                </c:pt>
                <c:pt idx="32">
                  <c:v>69869.055724780512</c:v>
                </c:pt>
              </c:numCache>
            </c:numRef>
          </c:val>
          <c:smooth val="0"/>
          <c:extLst>
            <c:ext xmlns:c16="http://schemas.microsoft.com/office/drawing/2014/chart" uri="{C3380CC4-5D6E-409C-BE32-E72D297353CC}">
              <c16:uniqueId val="{00000001-FE50-482D-905D-7C3B099138E4}"/>
            </c:ext>
          </c:extLst>
        </c:ser>
        <c:ser>
          <c:idx val="5"/>
          <c:order val="2"/>
          <c:tx>
            <c:strRef>
              <c:f>Projections!$A$371</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Projections!$P$372:$BK$372</c15:sqref>
                  </c15:fullRef>
                </c:ext>
              </c:extLst>
              <c:f>Projections!$P$372:$AV$372</c:f>
              <c:numCache>
                <c:formatCode>#,##0</c:formatCode>
                <c:ptCount val="33"/>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pt idx="28">
                  <c:v>29612.73692886579</c:v>
                </c:pt>
                <c:pt idx="29">
                  <c:v>34548.193083676757</c:v>
                </c:pt>
                <c:pt idx="30">
                  <c:v>39483.64923848772</c:v>
                </c:pt>
                <c:pt idx="31">
                  <c:v>44419.105393298683</c:v>
                </c:pt>
                <c:pt idx="32">
                  <c:v>49354.561548109654</c:v>
                </c:pt>
              </c:numCache>
            </c:numRef>
          </c:val>
          <c:smooth val="0"/>
          <c:extLst>
            <c:ext xmlns:c16="http://schemas.microsoft.com/office/drawing/2014/chart" uri="{C3380CC4-5D6E-409C-BE32-E72D297353CC}">
              <c16:uniqueId val="{00000002-FE50-482D-905D-7C3B099138E4}"/>
            </c:ext>
          </c:extLst>
        </c:ser>
        <c:ser>
          <c:idx val="7"/>
          <c:order val="3"/>
          <c:tx>
            <c:strRef>
              <c:f>Projections!$A$373</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Projections!$P$374:$BK$374</c15:sqref>
                  </c15:fullRef>
                </c:ext>
              </c:extLst>
              <c:f>Projections!$P$374:$AV$374</c:f>
              <c:numCache>
                <c:formatCode>#,##0</c:formatCode>
                <c:ptCount val="33"/>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pt idx="28">
                  <c:v>9926.3965597563165</c:v>
                </c:pt>
                <c:pt idx="29">
                  <c:v>11580.795986382369</c:v>
                </c:pt>
                <c:pt idx="30">
                  <c:v>13235.195413008421</c:v>
                </c:pt>
                <c:pt idx="31">
                  <c:v>14889.594839634474</c:v>
                </c:pt>
                <c:pt idx="32">
                  <c:v>16543.994266260524</c:v>
                </c:pt>
              </c:numCache>
            </c:numRef>
          </c:val>
          <c:smooth val="0"/>
          <c:extLst>
            <c:ext xmlns:c16="http://schemas.microsoft.com/office/drawing/2014/chart" uri="{C3380CC4-5D6E-409C-BE32-E72D297353CC}">
              <c16:uniqueId val="{00000003-FE50-482D-905D-7C3B099138E4}"/>
            </c:ext>
          </c:extLst>
        </c:ser>
        <c:ser>
          <c:idx val="9"/>
          <c:order val="4"/>
          <c:tx>
            <c:strRef>
              <c:f>Projections!$A$375</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Projections!$P$376:$BK$376</c15:sqref>
                  </c15:fullRef>
                </c:ext>
              </c:extLst>
              <c:f>Projections!$P$376:$AV$376</c:f>
              <c:numCache>
                <c:formatCode>#,##0</c:formatCode>
                <c:ptCount val="33"/>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pt idx="28">
                  <c:v>2550.514101415517</c:v>
                </c:pt>
                <c:pt idx="29">
                  <c:v>2975.5997849847699</c:v>
                </c:pt>
                <c:pt idx="30">
                  <c:v>3400.6854685540225</c:v>
                </c:pt>
                <c:pt idx="31">
                  <c:v>3825.7711521232754</c:v>
                </c:pt>
                <c:pt idx="32">
                  <c:v>4250.856835692528</c:v>
                </c:pt>
              </c:numCache>
            </c:numRef>
          </c:val>
          <c:smooth val="0"/>
          <c:extLst>
            <c:ext xmlns:c16="http://schemas.microsoft.com/office/drawing/2014/chart" uri="{C3380CC4-5D6E-409C-BE32-E72D297353CC}">
              <c16:uniqueId val="{00000004-FE50-482D-905D-7C3B099138E4}"/>
            </c:ext>
          </c:extLst>
        </c:ser>
        <c:ser>
          <c:idx val="11"/>
          <c:order val="5"/>
          <c:tx>
            <c:strRef>
              <c:f>Projections!$A$377</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Projections!$P$378:$BK$378</c15:sqref>
                  </c15:fullRef>
                </c:ext>
              </c:extLst>
              <c:f>Projections!$P$378:$AV$378</c:f>
              <c:numCache>
                <c:formatCode>#,##0</c:formatCode>
                <c:ptCount val="33"/>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pt idx="28">
                  <c:v>1546.5133846980827</c:v>
                </c:pt>
                <c:pt idx="29">
                  <c:v>1804.2656154810966</c:v>
                </c:pt>
                <c:pt idx="30">
                  <c:v>2062.0178462641102</c:v>
                </c:pt>
                <c:pt idx="31">
                  <c:v>2319.7700770471242</c:v>
                </c:pt>
                <c:pt idx="32">
                  <c:v>2577.5223078301378</c:v>
                </c:pt>
              </c:numCache>
            </c:numRef>
          </c:val>
          <c:smooth val="0"/>
          <c:extLst>
            <c:ext xmlns:c16="http://schemas.microsoft.com/office/drawing/2014/chart" uri="{C3380CC4-5D6E-409C-BE32-E72D297353CC}">
              <c16:uniqueId val="{00000005-FE50-482D-905D-7C3B099138E4}"/>
            </c:ext>
          </c:extLst>
        </c:ser>
        <c:ser>
          <c:idx val="13"/>
          <c:order val="6"/>
          <c:tx>
            <c:strRef>
              <c:f>Projections!$A$379</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Projections!$P$380:$BK$380</c15:sqref>
                  </c15:fullRef>
                </c:ext>
              </c:extLst>
              <c:f>Projections!$P$380:$AV$380</c:f>
              <c:numCache>
                <c:formatCode>#,##0</c:formatCode>
                <c:ptCount val="33"/>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pt idx="28">
                  <c:v>2124.25414800215</c:v>
                </c:pt>
                <c:pt idx="29">
                  <c:v>2478.2965060025085</c:v>
                </c:pt>
                <c:pt idx="30">
                  <c:v>2832.3388640028666</c:v>
                </c:pt>
                <c:pt idx="31">
                  <c:v>3186.3812220032255</c:v>
                </c:pt>
                <c:pt idx="32">
                  <c:v>3540.4235800035835</c:v>
                </c:pt>
              </c:numCache>
            </c:numRef>
          </c:val>
          <c:smooth val="0"/>
          <c:extLst>
            <c:ext xmlns:c16="http://schemas.microsoft.com/office/drawing/2014/chart" uri="{C3380CC4-5D6E-409C-BE32-E72D297353CC}">
              <c16:uniqueId val="{00000006-FE50-482D-905D-7C3B099138E4}"/>
            </c:ext>
          </c:extLst>
        </c:ser>
        <c:ser>
          <c:idx val="15"/>
          <c:order val="7"/>
          <c:tx>
            <c:strRef>
              <c:f>Projections!$A$381</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Projections!$P$382:$BK$382</c15:sqref>
                  </c15:fullRef>
                </c:ext>
              </c:extLst>
              <c:f>Projections!$P$382:$AV$382</c:f>
              <c:numCache>
                <c:formatCode>#,##0</c:formatCode>
                <c:ptCount val="33"/>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pt idx="28">
                  <c:v>283.58616735352086</c:v>
                </c:pt>
                <c:pt idx="29">
                  <c:v>330.85052857910767</c:v>
                </c:pt>
                <c:pt idx="30">
                  <c:v>378.11488980469454</c:v>
                </c:pt>
                <c:pt idx="31">
                  <c:v>425.3792510302813</c:v>
                </c:pt>
                <c:pt idx="32">
                  <c:v>472.64361225586811</c:v>
                </c:pt>
              </c:numCache>
            </c:numRef>
          </c:val>
          <c:smooth val="0"/>
          <c:extLst>
            <c:ext xmlns:c16="http://schemas.microsoft.com/office/drawing/2014/chart" uri="{C3380CC4-5D6E-409C-BE32-E72D297353CC}">
              <c16:uniqueId val="{00000007-FE50-482D-905D-7C3B099138E4}"/>
            </c:ext>
          </c:extLst>
        </c:ser>
        <c:ser>
          <c:idx val="17"/>
          <c:order val="8"/>
          <c:tx>
            <c:strRef>
              <c:f>Projections!$A$383</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Projections!$P$384:$BK$384</c15:sqref>
                  </c15:fullRef>
                </c:ext>
              </c:extLst>
              <c:f>Projections!$P$384:$AV$384</c:f>
              <c:numCache>
                <c:formatCode>#,##0</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Projections!$A$396</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Projections!$P$396:$BK$396</c15:sqref>
                  </c15:fullRef>
                </c:ext>
              </c:extLst>
              <c:f>Projections!$P$396:$AV$396</c:f>
              <c:numCache>
                <c:formatCode>#,##0</c:formatCode>
                <c:ptCount val="33"/>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pt idx="28">
                  <c:v>2260992</c:v>
                </c:pt>
                <c:pt idx="29">
                  <c:v>2637824</c:v>
                </c:pt>
                <c:pt idx="30">
                  <c:v>3014656</c:v>
                </c:pt>
                <c:pt idx="31">
                  <c:v>3391488</c:v>
                </c:pt>
                <c:pt idx="32">
                  <c:v>3768320</c:v>
                </c:pt>
              </c:numCache>
            </c:numRef>
          </c:val>
          <c:smooth val="0"/>
          <c:extLst>
            <c:ext xmlns:c16="http://schemas.microsoft.com/office/drawing/2014/chart" uri="{C3380CC4-5D6E-409C-BE32-E72D297353CC}">
              <c16:uniqueId val="{00000000-C5BA-4495-93D4-AC4CA8674604}"/>
            </c:ext>
          </c:extLst>
        </c:ser>
        <c:ser>
          <c:idx val="4"/>
          <c:order val="1"/>
          <c:tx>
            <c:strRef>
              <c:f>Projections!$A$394</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Projections!$P$394:$BK$394</c15:sqref>
                  </c15:fullRef>
                </c:ext>
              </c:extLst>
              <c:f>Projections!$P$394:$AV$394</c:f>
              <c:numCache>
                <c:formatCode>#,##0</c:formatCode>
                <c:ptCount val="33"/>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pt idx="28">
                  <c:v>658636.80000000005</c:v>
                </c:pt>
                <c:pt idx="29">
                  <c:v>768409.60000000009</c:v>
                </c:pt>
                <c:pt idx="30">
                  <c:v>878182.40000000002</c:v>
                </c:pt>
                <c:pt idx="31">
                  <c:v>987955.20000000007</c:v>
                </c:pt>
                <c:pt idx="32">
                  <c:v>1097728</c:v>
                </c:pt>
              </c:numCache>
            </c:numRef>
          </c:val>
          <c:smooth val="0"/>
          <c:extLst>
            <c:ext xmlns:c16="http://schemas.microsoft.com/office/drawing/2014/chart" uri="{C3380CC4-5D6E-409C-BE32-E72D297353CC}">
              <c16:uniqueId val="{00000001-C5BA-4495-93D4-AC4CA8674604}"/>
            </c:ext>
          </c:extLst>
        </c:ser>
        <c:ser>
          <c:idx val="10"/>
          <c:order val="2"/>
          <c:tx>
            <c:strRef>
              <c:f>Projections!$A$400</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Projections!$P$400:$BK$400</c15:sqref>
                  </c15:fullRef>
                </c:ext>
              </c:extLst>
              <c:f>Projections!$P$400:$AV$400</c:f>
              <c:numCache>
                <c:formatCode>#,##0</c:formatCode>
                <c:ptCount val="33"/>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pt idx="28">
                  <c:v>761856</c:v>
                </c:pt>
                <c:pt idx="29">
                  <c:v>888832</c:v>
                </c:pt>
                <c:pt idx="30">
                  <c:v>1015808</c:v>
                </c:pt>
                <c:pt idx="31">
                  <c:v>1142784</c:v>
                </c:pt>
                <c:pt idx="32">
                  <c:v>1269760</c:v>
                </c:pt>
              </c:numCache>
            </c:numRef>
          </c:val>
          <c:smooth val="0"/>
          <c:extLst>
            <c:ext xmlns:c16="http://schemas.microsoft.com/office/drawing/2014/chart" uri="{C3380CC4-5D6E-409C-BE32-E72D297353CC}">
              <c16:uniqueId val="{00000002-C5BA-4495-93D4-AC4CA8674604}"/>
            </c:ext>
          </c:extLst>
        </c:ser>
        <c:ser>
          <c:idx val="0"/>
          <c:order val="3"/>
          <c:tx>
            <c:strRef>
              <c:f>Projections!$A$390</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Projections!$P$390:$BK$390</c15:sqref>
                  </c15:fullRef>
                </c:ext>
              </c:extLst>
              <c:f>Projections!$P$390:$AV$390</c:f>
              <c:numCache>
                <c:formatCode>#,##0</c:formatCode>
                <c:ptCount val="33"/>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pt idx="28">
                  <c:v>1808793.5999999999</c:v>
                </c:pt>
                <c:pt idx="29">
                  <c:v>2110259.2000000002</c:v>
                </c:pt>
                <c:pt idx="30">
                  <c:v>2411724.7999999998</c:v>
                </c:pt>
                <c:pt idx="31">
                  <c:v>2713190.3999999999</c:v>
                </c:pt>
                <c:pt idx="32">
                  <c:v>3014656</c:v>
                </c:pt>
              </c:numCache>
            </c:numRef>
          </c:val>
          <c:smooth val="0"/>
          <c:extLst>
            <c:ext xmlns:c16="http://schemas.microsoft.com/office/drawing/2014/chart" uri="{C3380CC4-5D6E-409C-BE32-E72D297353CC}">
              <c16:uniqueId val="{00000003-C5BA-4495-93D4-AC4CA8674604}"/>
            </c:ext>
          </c:extLst>
        </c:ser>
        <c:ser>
          <c:idx val="2"/>
          <c:order val="4"/>
          <c:tx>
            <c:strRef>
              <c:f>Projections!$A$392</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Projections!$P$392:$BK$392</c15:sqref>
                  </c15:fullRef>
                </c:ext>
              </c:extLst>
              <c:f>Projections!$P$392:$AV$392</c:f>
              <c:numCache>
                <c:formatCode>#,##0</c:formatCode>
                <c:ptCount val="33"/>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pt idx="28">
                  <c:v>481689.60000000003</c:v>
                </c:pt>
                <c:pt idx="29">
                  <c:v>561971.20000000007</c:v>
                </c:pt>
                <c:pt idx="30">
                  <c:v>642252.80000000005</c:v>
                </c:pt>
                <c:pt idx="31">
                  <c:v>722534.40000000002</c:v>
                </c:pt>
                <c:pt idx="32">
                  <c:v>802816</c:v>
                </c:pt>
              </c:numCache>
            </c:numRef>
          </c:val>
          <c:smooth val="0"/>
          <c:extLst>
            <c:ext xmlns:c16="http://schemas.microsoft.com/office/drawing/2014/chart" uri="{C3380CC4-5D6E-409C-BE32-E72D297353CC}">
              <c16:uniqueId val="{00000004-C5BA-4495-93D4-AC4CA8674604}"/>
            </c:ext>
          </c:extLst>
        </c:ser>
        <c:ser>
          <c:idx val="8"/>
          <c:order val="5"/>
          <c:tx>
            <c:strRef>
              <c:f>Projections!$A$398</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Projections!$P$398:$BK$398</c15:sqref>
                  </c15:fullRef>
                </c:ext>
              </c:extLst>
              <c:f>Projections!$P$398:$AV$398</c:f>
              <c:numCache>
                <c:formatCode>#,##0</c:formatCode>
                <c:ptCount val="33"/>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pt idx="28">
                  <c:v>21577.727999999999</c:v>
                </c:pt>
                <c:pt idx="29">
                  <c:v>25174.016</c:v>
                </c:pt>
                <c:pt idx="30">
                  <c:v>28770.304</c:v>
                </c:pt>
                <c:pt idx="31">
                  <c:v>32366.591999999997</c:v>
                </c:pt>
                <c:pt idx="32">
                  <c:v>35962.879999999997</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Projections!$A$396</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Projections!$P$397:$BK$397</c15:sqref>
                  </c15:fullRef>
                </c:ext>
              </c:extLst>
              <c:f>Projections!$P$397:$AV$397</c:f>
              <c:numCache>
                <c:formatCode>#,##0</c:formatCode>
                <c:ptCount val="33"/>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pt idx="28">
                  <c:v>135659.51999999999</c:v>
                </c:pt>
                <c:pt idx="29">
                  <c:v>158269.44</c:v>
                </c:pt>
                <c:pt idx="30">
                  <c:v>180879.35999999999</c:v>
                </c:pt>
                <c:pt idx="31">
                  <c:v>203489.28</c:v>
                </c:pt>
                <c:pt idx="32">
                  <c:v>226099.19999999998</c:v>
                </c:pt>
              </c:numCache>
            </c:numRef>
          </c:val>
          <c:smooth val="0"/>
          <c:extLst>
            <c:ext xmlns:c16="http://schemas.microsoft.com/office/drawing/2014/chart" uri="{C3380CC4-5D6E-409C-BE32-E72D297353CC}">
              <c16:uniqueId val="{00000000-5E66-4AF0-A3CA-7CF12153AA8E}"/>
            </c:ext>
          </c:extLst>
        </c:ser>
        <c:ser>
          <c:idx val="5"/>
          <c:order val="1"/>
          <c:tx>
            <c:strRef>
              <c:f>Projections!$A$394</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Projections!$P$395:$BK$395</c15:sqref>
                  </c15:fullRef>
                </c:ext>
              </c:extLst>
              <c:f>Projections!$P$395:$AV$395</c:f>
              <c:numCache>
                <c:formatCode>#,##0</c:formatCode>
                <c:ptCount val="33"/>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pt idx="28">
                  <c:v>41494.118400000007</c:v>
                </c:pt>
                <c:pt idx="29">
                  <c:v>48409.804800000005</c:v>
                </c:pt>
                <c:pt idx="30">
                  <c:v>55325.491200000004</c:v>
                </c:pt>
                <c:pt idx="31">
                  <c:v>62241.177600000003</c:v>
                </c:pt>
                <c:pt idx="32">
                  <c:v>69156.864000000001</c:v>
                </c:pt>
              </c:numCache>
            </c:numRef>
          </c:val>
          <c:smooth val="0"/>
          <c:extLst>
            <c:ext xmlns:c16="http://schemas.microsoft.com/office/drawing/2014/chart" uri="{C3380CC4-5D6E-409C-BE32-E72D297353CC}">
              <c16:uniqueId val="{00000001-5E66-4AF0-A3CA-7CF12153AA8E}"/>
            </c:ext>
          </c:extLst>
        </c:ser>
        <c:ser>
          <c:idx val="1"/>
          <c:order val="2"/>
          <c:tx>
            <c:strRef>
              <c:f>Projections!$A$390</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Projections!$P$391:$BK$391</c15:sqref>
                  </c15:fullRef>
                </c:ext>
              </c:extLst>
              <c:f>Projections!$P$391:$AV$391</c:f>
              <c:numCache>
                <c:formatCode>#,##0</c:formatCode>
                <c:ptCount val="33"/>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pt idx="28">
                  <c:v>189923.32799999998</c:v>
                </c:pt>
                <c:pt idx="29">
                  <c:v>221577.21600000001</c:v>
                </c:pt>
                <c:pt idx="30">
                  <c:v>253231.10399999996</c:v>
                </c:pt>
                <c:pt idx="31">
                  <c:v>284884.99199999997</c:v>
                </c:pt>
                <c:pt idx="32">
                  <c:v>316538.88</c:v>
                </c:pt>
              </c:numCache>
            </c:numRef>
          </c:val>
          <c:smooth val="0"/>
          <c:extLst>
            <c:ext xmlns:c16="http://schemas.microsoft.com/office/drawing/2014/chart" uri="{C3380CC4-5D6E-409C-BE32-E72D297353CC}">
              <c16:uniqueId val="{00000002-5E66-4AF0-A3CA-7CF12153AA8E}"/>
            </c:ext>
          </c:extLst>
        </c:ser>
        <c:ser>
          <c:idx val="3"/>
          <c:order val="3"/>
          <c:tx>
            <c:strRef>
              <c:f>Projections!$A$392</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Projections!$P$393:$BK$393</c15:sqref>
                  </c15:fullRef>
                </c:ext>
              </c:extLst>
              <c:f>Projections!$P$393:$AV$393</c:f>
              <c:numCache>
                <c:formatCode>#,##0</c:formatCode>
                <c:ptCount val="33"/>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pt idx="28">
                  <c:v>35163.340799999998</c:v>
                </c:pt>
                <c:pt idx="29">
                  <c:v>41023.897600000004</c:v>
                </c:pt>
                <c:pt idx="30">
                  <c:v>46884.454400000002</c:v>
                </c:pt>
                <c:pt idx="31">
                  <c:v>52745.011200000001</c:v>
                </c:pt>
                <c:pt idx="32">
                  <c:v>58605.567999999999</c:v>
                </c:pt>
              </c:numCache>
            </c:numRef>
          </c:val>
          <c:smooth val="0"/>
          <c:extLst>
            <c:ext xmlns:c16="http://schemas.microsoft.com/office/drawing/2014/chart" uri="{C3380CC4-5D6E-409C-BE32-E72D297353CC}">
              <c16:uniqueId val="{00000003-5E66-4AF0-A3CA-7CF12153AA8E}"/>
            </c:ext>
          </c:extLst>
        </c:ser>
        <c:ser>
          <c:idx val="9"/>
          <c:order val="4"/>
          <c:tx>
            <c:strRef>
              <c:f>Projections!$A$398</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Projections!$P$399:$BK$399</c15:sqref>
                  </c15:fullRef>
                </c:ext>
              </c:extLst>
              <c:f>Projections!$P$399:$AV$399</c:f>
              <c:numCache>
                <c:formatCode>#,##0</c:formatCode>
                <c:ptCount val="33"/>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pt idx="28">
                  <c:v>1208.352768</c:v>
                </c:pt>
                <c:pt idx="29">
                  <c:v>1409.7448959999999</c:v>
                </c:pt>
                <c:pt idx="30">
                  <c:v>1611.1370240000001</c:v>
                </c:pt>
                <c:pt idx="31">
                  <c:v>1812.5291519999998</c:v>
                </c:pt>
                <c:pt idx="32">
                  <c:v>2013.9212799999998</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Projections!$A$335</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Projections!$P$334:$BK$334</c15:sqref>
                  </c15:fullRef>
                </c:ext>
              </c:extLst>
              <c:f>Projections!$P$334:$AQ$334</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numCache>
            </c:numRef>
          </c:cat>
          <c:val>
            <c:numRef>
              <c:extLst>
                <c:ext xmlns:c15="http://schemas.microsoft.com/office/drawing/2012/chart" uri="{02D57815-91ED-43cb-92C2-25804820EDAC}">
                  <c15:fullRef>
                    <c15:sqref>Projections!$P$335:$BK$335</c15:sqref>
                  </c15:fullRef>
                </c:ext>
              </c:extLst>
              <c:f>Projections!$P$335:$AQ$335</c:f>
              <c:numCache>
                <c:formatCode>#,##0_ ;[Red]\-#,##0\ </c:formatCode>
                <c:ptCount val="28"/>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pt idx="24">
                  <c:v>2867200</c:v>
                </c:pt>
                <c:pt idx="25">
                  <c:v>3276800</c:v>
                </c:pt>
                <c:pt idx="26">
                  <c:v>3686400</c:v>
                </c:pt>
                <c:pt idx="27">
                  <c:v>4096000</c:v>
                </c:pt>
              </c:numCache>
            </c:numRef>
          </c:val>
          <c:smooth val="0"/>
          <c:extLst>
            <c:ext xmlns:c16="http://schemas.microsoft.com/office/drawing/2014/chart" uri="{C3380CC4-5D6E-409C-BE32-E72D297353CC}">
              <c16:uniqueId val="{00000000-9DE3-43B6-B60B-9B4AA4851702}"/>
            </c:ext>
          </c:extLst>
        </c:ser>
        <c:ser>
          <c:idx val="1"/>
          <c:order val="1"/>
          <c:tx>
            <c:strRef>
              <c:f>Projections!$A$359</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Projections!$P$334:$BK$334</c15:sqref>
                  </c15:fullRef>
                </c:ext>
              </c:extLst>
              <c:f>Projections!$P$334:$AQ$334</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numCache>
            </c:numRef>
          </c:cat>
          <c:val>
            <c:numRef>
              <c:extLst>
                <c:ext xmlns:c15="http://schemas.microsoft.com/office/drawing/2012/chart" uri="{02D57815-91ED-43cb-92C2-25804820EDAC}">
                  <c15:fullRef>
                    <c15:sqref>Projections!$P$359:$BK$359</c15:sqref>
                  </c15:fullRef>
                </c:ext>
              </c:extLst>
              <c:f>Projections!$P$359:$AQ$359</c:f>
              <c:numCache>
                <c:formatCode>General</c:formatCode>
                <c:ptCount val="28"/>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2464771</c:v>
                </c:pt>
                <c:pt idx="24" formatCode="#,##0">
                  <c:v>2890588</c:v>
                </c:pt>
                <c:pt idx="25" formatCode="#,##0">
                  <c:v>3276800</c:v>
                </c:pt>
                <c:pt idx="26" formatCode="#,##0">
                  <c:v>3686400</c:v>
                </c:pt>
                <c:pt idx="27" formatCode="#,##0">
                  <c:v>4096000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Projections!$A$349</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Projections!$P$334:$BK$334</c15:sqref>
                  </c15:fullRef>
                </c:ext>
              </c:extLst>
              <c:f>Projections!$P$334:$AQ$334</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numCache>
            </c:numRef>
          </c:cat>
          <c:val>
            <c:numRef>
              <c:extLst>
                <c:ext xmlns:c15="http://schemas.microsoft.com/office/drawing/2012/chart" uri="{02D57815-91ED-43cb-92C2-25804820EDAC}">
                  <c15:fullRef>
                    <c15:sqref>Projections!$P$349:$BK$349</c15:sqref>
                  </c15:fullRef>
                </c:ext>
              </c:extLst>
              <c:f>Projections!$P$349:$AQ$349</c:f>
              <c:numCache>
                <c:formatCode>#,##0_ ;[Red]\-#,##0\ </c:formatCode>
                <c:ptCount val="28"/>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29440</c:v>
                </c:pt>
                <c:pt idx="16">
                  <c:v>35328</c:v>
                </c:pt>
                <c:pt idx="17">
                  <c:v>41216</c:v>
                </c:pt>
                <c:pt idx="18">
                  <c:v>47104</c:v>
                </c:pt>
                <c:pt idx="19">
                  <c:v>60293.119999999995</c:v>
                </c:pt>
                <c:pt idx="20">
                  <c:v>70656</c:v>
                </c:pt>
                <c:pt idx="21">
                  <c:v>82432</c:v>
                </c:pt>
                <c:pt idx="22">
                  <c:v>94208</c:v>
                </c:pt>
                <c:pt idx="23">
                  <c:v>113049.59999999999</c:v>
                </c:pt>
                <c:pt idx="24">
                  <c:v>131891.20000000001</c:v>
                </c:pt>
                <c:pt idx="25">
                  <c:v>150732.79999999999</c:v>
                </c:pt>
                <c:pt idx="26">
                  <c:v>169574.39999999999</c:v>
                </c:pt>
                <c:pt idx="27">
                  <c:v>188416</c:v>
                </c:pt>
              </c:numCache>
            </c:numRef>
          </c:val>
          <c:smooth val="0"/>
          <c:extLst>
            <c:ext xmlns:c16="http://schemas.microsoft.com/office/drawing/2014/chart" uri="{C3380CC4-5D6E-409C-BE32-E72D297353CC}">
              <c16:uniqueId val="{00000000-FE1B-4946-A476-7952C5C71231}"/>
            </c:ext>
          </c:extLst>
        </c:ser>
        <c:ser>
          <c:idx val="1"/>
          <c:order val="1"/>
          <c:tx>
            <c:strRef>
              <c:f>Projections!$A$363</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Projections!$P$334:$BK$334</c15:sqref>
                  </c15:fullRef>
                </c:ext>
              </c:extLst>
              <c:f>Projections!$P$334:$AQ$334</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numCache>
            </c:numRef>
          </c:cat>
          <c:val>
            <c:numRef>
              <c:extLst>
                <c:ext xmlns:c15="http://schemas.microsoft.com/office/drawing/2012/chart" uri="{02D57815-91ED-43cb-92C2-25804820EDAC}">
                  <c15:fullRef>
                    <c15:sqref>Projections!$P$363:$BK$363</c15:sqref>
                  </c15:fullRef>
                </c:ext>
              </c:extLst>
              <c:f>Projections!$P$363:$AQ$363</c:f>
              <c:numCache>
                <c:formatCode>General</c:formatCode>
                <c:ptCount val="28"/>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126879</c:v>
                </c:pt>
                <c:pt idx="24" formatCode="#,##0">
                  <c:v>132101</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43976.887101388886</c:v>
                </c:pt>
                <c:pt idx="1">
                  <c:v>43979.887101388886</c:v>
                </c:pt>
                <c:pt idx="2">
                  <c:v>43982.887101388886</c:v>
                </c:pt>
                <c:pt idx="3">
                  <c:v>43985.887101388886</c:v>
                </c:pt>
                <c:pt idx="4">
                  <c:v>43988.887101388886</c:v>
                </c:pt>
                <c:pt idx="5">
                  <c:v>43991.887101388886</c:v>
                </c:pt>
                <c:pt idx="6">
                  <c:v>43994.887101388886</c:v>
                </c:pt>
                <c:pt idx="7">
                  <c:v>43997.887101388886</c:v>
                </c:pt>
                <c:pt idx="8">
                  <c:v>44000.887101388886</c:v>
                </c:pt>
                <c:pt idx="9">
                  <c:v>44003.887101388886</c:v>
                </c:pt>
                <c:pt idx="10">
                  <c:v>44006.887101388886</c:v>
                </c:pt>
                <c:pt idx="11">
                  <c:v>44009.887101388886</c:v>
                </c:pt>
                <c:pt idx="12">
                  <c:v>44012.887101388886</c:v>
                </c:pt>
                <c:pt idx="13">
                  <c:v>44015.887101388886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21.739130434782609</c:v>
                </c:pt>
                <c:pt idx="4">
                  <c:v>43.478260869565219</c:v>
                </c:pt>
                <c:pt idx="5">
                  <c:v>86.956521739130437</c:v>
                </c:pt>
                <c:pt idx="6">
                  <c:v>173.91304347826087</c:v>
                </c:pt>
                <c:pt idx="7">
                  <c:v>347.82608695652175</c:v>
                </c:pt>
                <c:pt idx="8">
                  <c:v>695.6521739130435</c:v>
                </c:pt>
                <c:pt idx="9">
                  <c:v>1391.304347826087</c:v>
                </c:pt>
                <c:pt idx="10">
                  <c:v>2782.608695652174</c:v>
                </c:pt>
                <c:pt idx="11">
                  <c:v>5565.217391304348</c:v>
                </c:pt>
                <c:pt idx="12">
                  <c:v>11130.434782608696</c:v>
                </c:pt>
                <c:pt idx="13">
                  <c:v>22260.869565217392</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43976.887101388886</c:v>
                </c:pt>
                <c:pt idx="1">
                  <c:v>43979.887101388886</c:v>
                </c:pt>
                <c:pt idx="2">
                  <c:v>43982.887101388886</c:v>
                </c:pt>
                <c:pt idx="3">
                  <c:v>43985.887101388886</c:v>
                </c:pt>
                <c:pt idx="4">
                  <c:v>43988.887101388886</c:v>
                </c:pt>
                <c:pt idx="5">
                  <c:v>43991.887101388886</c:v>
                </c:pt>
                <c:pt idx="6">
                  <c:v>43994.887101388886</c:v>
                </c:pt>
                <c:pt idx="7">
                  <c:v>43997.887101388886</c:v>
                </c:pt>
                <c:pt idx="8">
                  <c:v>44000.887101388886</c:v>
                </c:pt>
                <c:pt idx="9">
                  <c:v>44003.887101388886</c:v>
                </c:pt>
                <c:pt idx="10">
                  <c:v>44006.887101388886</c:v>
                </c:pt>
                <c:pt idx="11">
                  <c:v>44009.887101388886</c:v>
                </c:pt>
                <c:pt idx="12">
                  <c:v>44012.887101388886</c:v>
                </c:pt>
                <c:pt idx="13">
                  <c:v>44015.887101388886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21.739130434782609</c:v>
                </c:pt>
                <c:pt idx="3">
                  <c:v>43.478260869565219</c:v>
                </c:pt>
                <c:pt idx="4">
                  <c:v>70.434782608695656</c:v>
                </c:pt>
                <c:pt idx="5">
                  <c:v>140.86956521739131</c:v>
                </c:pt>
                <c:pt idx="6">
                  <c:v>281.73913043478262</c:v>
                </c:pt>
                <c:pt idx="7">
                  <c:v>545.86956521739137</c:v>
                </c:pt>
                <c:pt idx="8">
                  <c:v>1091.7391304347827</c:v>
                </c:pt>
                <c:pt idx="9">
                  <c:v>2183.4782608695655</c:v>
                </c:pt>
                <c:pt idx="10">
                  <c:v>4366.9565217391309</c:v>
                </c:pt>
                <c:pt idx="11">
                  <c:v>8733.9130434782619</c:v>
                </c:pt>
                <c:pt idx="12">
                  <c:v>17485.434782608696</c:v>
                </c:pt>
                <c:pt idx="13">
                  <c:v>34970.869565217392</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43976.887101388886</c:v>
                </c:pt>
                <c:pt idx="1">
                  <c:v>43979.887101388886</c:v>
                </c:pt>
                <c:pt idx="2">
                  <c:v>43982.887101388886</c:v>
                </c:pt>
                <c:pt idx="3">
                  <c:v>43985.887101388886</c:v>
                </c:pt>
                <c:pt idx="4">
                  <c:v>43988.887101388886</c:v>
                </c:pt>
                <c:pt idx="5">
                  <c:v>43991.887101388886</c:v>
                </c:pt>
                <c:pt idx="6">
                  <c:v>43994.887101388886</c:v>
                </c:pt>
                <c:pt idx="7">
                  <c:v>43997.887101388886</c:v>
                </c:pt>
                <c:pt idx="8">
                  <c:v>44000.887101388886</c:v>
                </c:pt>
                <c:pt idx="9">
                  <c:v>44003.887101388886</c:v>
                </c:pt>
                <c:pt idx="10">
                  <c:v>44006.887101388886</c:v>
                </c:pt>
                <c:pt idx="11">
                  <c:v>44009.887101388886</c:v>
                </c:pt>
                <c:pt idx="12">
                  <c:v>44012.887101388886</c:v>
                </c:pt>
                <c:pt idx="13">
                  <c:v>44015.887101388886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16.521739130434785</c:v>
                </c:pt>
                <c:pt idx="5">
                  <c:v>33.04347826086957</c:v>
                </c:pt>
                <c:pt idx="6">
                  <c:v>48.695652173913047</c:v>
                </c:pt>
                <c:pt idx="7">
                  <c:v>97.391304347826093</c:v>
                </c:pt>
                <c:pt idx="8">
                  <c:v>194.78260869565219</c:v>
                </c:pt>
                <c:pt idx="9">
                  <c:v>389.56521739130437</c:v>
                </c:pt>
                <c:pt idx="10">
                  <c:v>779.13043478260875</c:v>
                </c:pt>
                <c:pt idx="11">
                  <c:v>1558.2608695652175</c:v>
                </c:pt>
                <c:pt idx="12">
                  <c:v>3116.521739130435</c:v>
                </c:pt>
                <c:pt idx="13">
                  <c:v>6233.04347826087</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43976.887101388886</c:v>
                </c:pt>
                <c:pt idx="1">
                  <c:v>43979.887101388886</c:v>
                </c:pt>
                <c:pt idx="2">
                  <c:v>43982.887101388886</c:v>
                </c:pt>
                <c:pt idx="3">
                  <c:v>43985.887101388886</c:v>
                </c:pt>
                <c:pt idx="4">
                  <c:v>43988.887101388886</c:v>
                </c:pt>
                <c:pt idx="5">
                  <c:v>43991.887101388886</c:v>
                </c:pt>
                <c:pt idx="6">
                  <c:v>43994.887101388886</c:v>
                </c:pt>
                <c:pt idx="7">
                  <c:v>43997.887101388886</c:v>
                </c:pt>
                <c:pt idx="8">
                  <c:v>44000.887101388886</c:v>
                </c:pt>
                <c:pt idx="9">
                  <c:v>44003.887101388886</c:v>
                </c:pt>
                <c:pt idx="10">
                  <c:v>44006.887101388886</c:v>
                </c:pt>
                <c:pt idx="11">
                  <c:v>44009.887101388886</c:v>
                </c:pt>
                <c:pt idx="12">
                  <c:v>44012.887101388886</c:v>
                </c:pt>
                <c:pt idx="13">
                  <c:v>44015.887101388886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17.39130434782609</c:v>
                </c:pt>
                <c:pt idx="7">
                  <c:v>34.782608695652179</c:v>
                </c:pt>
                <c:pt idx="8">
                  <c:v>69.565217391304358</c:v>
                </c:pt>
                <c:pt idx="9">
                  <c:v>139.13043478260872</c:v>
                </c:pt>
                <c:pt idx="10">
                  <c:v>278.26086956521743</c:v>
                </c:pt>
                <c:pt idx="11">
                  <c:v>556.52173913043487</c:v>
                </c:pt>
                <c:pt idx="12">
                  <c:v>1113.0434782608697</c:v>
                </c:pt>
                <c:pt idx="13">
                  <c:v>2226.0869565217395</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43976.887101388886</c:v>
                </c:pt>
                <c:pt idx="1">
                  <c:v>43979.887101388886</c:v>
                </c:pt>
                <c:pt idx="2">
                  <c:v>43982.887101388886</c:v>
                </c:pt>
                <c:pt idx="3">
                  <c:v>43985.887101388886</c:v>
                </c:pt>
                <c:pt idx="4">
                  <c:v>43988.887101388886</c:v>
                </c:pt>
                <c:pt idx="5">
                  <c:v>43991.887101388886</c:v>
                </c:pt>
                <c:pt idx="6">
                  <c:v>43994.887101388886</c:v>
                </c:pt>
                <c:pt idx="7">
                  <c:v>43997.887101388886</c:v>
                </c:pt>
                <c:pt idx="8">
                  <c:v>44000.887101388886</c:v>
                </c:pt>
                <c:pt idx="9">
                  <c:v>44003.887101388886</c:v>
                </c:pt>
                <c:pt idx="10">
                  <c:v>44006.887101388886</c:v>
                </c:pt>
                <c:pt idx="11">
                  <c:v>44009.887101388886</c:v>
                </c:pt>
                <c:pt idx="12">
                  <c:v>44012.887101388886</c:v>
                </c:pt>
                <c:pt idx="13">
                  <c:v>44015.887101388886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43976.887101388886</c:v>
                </c:pt>
                <c:pt idx="1">
                  <c:v>43979.887101388886</c:v>
                </c:pt>
                <c:pt idx="2">
                  <c:v>43982.887101388886</c:v>
                </c:pt>
                <c:pt idx="3">
                  <c:v>43985.887101388886</c:v>
                </c:pt>
                <c:pt idx="4">
                  <c:v>43988.887101388886</c:v>
                </c:pt>
                <c:pt idx="5">
                  <c:v>43991.887101388886</c:v>
                </c:pt>
                <c:pt idx="6">
                  <c:v>43994.887101388886</c:v>
                </c:pt>
                <c:pt idx="7">
                  <c:v>43997.887101388886</c:v>
                </c:pt>
                <c:pt idx="8">
                  <c:v>44000.887101388886</c:v>
                </c:pt>
                <c:pt idx="9">
                  <c:v>44003.887101388886</c:v>
                </c:pt>
                <c:pt idx="10">
                  <c:v>44006.887101388886</c:v>
                </c:pt>
                <c:pt idx="11">
                  <c:v>44009.887101388886</c:v>
                </c:pt>
                <c:pt idx="12">
                  <c:v>44012.887101388886</c:v>
                </c:pt>
                <c:pt idx="13">
                  <c:v>44015.887101388886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49.689440993788821</c:v>
                </c:pt>
                <c:pt idx="1">
                  <c:v>99.378881987577643</c:v>
                </c:pt>
                <c:pt idx="2">
                  <c:v>198.75776397515529</c:v>
                </c:pt>
                <c:pt idx="3">
                  <c:v>397.51552795031057</c:v>
                </c:pt>
                <c:pt idx="4">
                  <c:v>795.03105590062114</c:v>
                </c:pt>
                <c:pt idx="5">
                  <c:v>1590.0621118012423</c:v>
                </c:pt>
                <c:pt idx="6">
                  <c:v>3180.1242236024846</c:v>
                </c:pt>
                <c:pt idx="7">
                  <c:v>6360.2484472049691</c:v>
                </c:pt>
                <c:pt idx="8">
                  <c:v>12720.496894409938</c:v>
                </c:pt>
                <c:pt idx="9">
                  <c:v>25440.993788819876</c:v>
                </c:pt>
                <c:pt idx="10">
                  <c:v>50881.987577639753</c:v>
                </c:pt>
                <c:pt idx="11">
                  <c:v>101763.97515527951</c:v>
                </c:pt>
                <c:pt idx="12">
                  <c:v>203527.95031055901</c:v>
                </c:pt>
                <c:pt idx="13">
                  <c:v>407055.90062111802</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43976.887101388886</c:v>
                </c:pt>
                <c:pt idx="1">
                  <c:v>43979.887101388886</c:v>
                </c:pt>
                <c:pt idx="2">
                  <c:v>43982.887101388886</c:v>
                </c:pt>
                <c:pt idx="3">
                  <c:v>43985.887101388886</c:v>
                </c:pt>
                <c:pt idx="4">
                  <c:v>43988.887101388886</c:v>
                </c:pt>
                <c:pt idx="5">
                  <c:v>43991.887101388886</c:v>
                </c:pt>
                <c:pt idx="6">
                  <c:v>43994.887101388886</c:v>
                </c:pt>
                <c:pt idx="7">
                  <c:v>43997.887101388886</c:v>
                </c:pt>
                <c:pt idx="8">
                  <c:v>44000.887101388886</c:v>
                </c:pt>
                <c:pt idx="9">
                  <c:v>44003.887101388886</c:v>
                </c:pt>
                <c:pt idx="10">
                  <c:v>44006.887101388886</c:v>
                </c:pt>
                <c:pt idx="11">
                  <c:v>44009.887101388886</c:v>
                </c:pt>
                <c:pt idx="12">
                  <c:v>44012.887101388886</c:v>
                </c:pt>
                <c:pt idx="13">
                  <c:v>44015.887101388886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21.739130434782609</c:v>
                </c:pt>
                <c:pt idx="4">
                  <c:v>43.478260869565219</c:v>
                </c:pt>
                <c:pt idx="5">
                  <c:v>86.956521739130437</c:v>
                </c:pt>
                <c:pt idx="6">
                  <c:v>173.91304347826087</c:v>
                </c:pt>
                <c:pt idx="7">
                  <c:v>347.82608695652175</c:v>
                </c:pt>
                <c:pt idx="8">
                  <c:v>695.6521739130435</c:v>
                </c:pt>
                <c:pt idx="9">
                  <c:v>1391.304347826087</c:v>
                </c:pt>
                <c:pt idx="10">
                  <c:v>2782.608695652174</c:v>
                </c:pt>
                <c:pt idx="11">
                  <c:v>5565.217391304348</c:v>
                </c:pt>
                <c:pt idx="12">
                  <c:v>11130.434782608696</c:v>
                </c:pt>
                <c:pt idx="13">
                  <c:v>22260.869565217392</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43976.887101388886</c:v>
                </c:pt>
                <c:pt idx="1">
                  <c:v>43979.887101388886</c:v>
                </c:pt>
                <c:pt idx="2">
                  <c:v>43982.887101388886</c:v>
                </c:pt>
                <c:pt idx="3">
                  <c:v>43985.887101388886</c:v>
                </c:pt>
                <c:pt idx="4">
                  <c:v>43988.887101388886</c:v>
                </c:pt>
                <c:pt idx="5">
                  <c:v>43991.887101388886</c:v>
                </c:pt>
                <c:pt idx="6">
                  <c:v>43994.887101388886</c:v>
                </c:pt>
                <c:pt idx="7">
                  <c:v>43997.887101388886</c:v>
                </c:pt>
                <c:pt idx="8">
                  <c:v>44000.887101388886</c:v>
                </c:pt>
                <c:pt idx="9">
                  <c:v>44003.887101388886</c:v>
                </c:pt>
                <c:pt idx="10">
                  <c:v>44006.887101388886</c:v>
                </c:pt>
                <c:pt idx="11">
                  <c:v>44009.887101388886</c:v>
                </c:pt>
                <c:pt idx="12">
                  <c:v>44012.887101388886</c:v>
                </c:pt>
                <c:pt idx="13">
                  <c:v>44015.887101388886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21.739130434782609</c:v>
                </c:pt>
                <c:pt idx="4">
                  <c:v>43.478260869565219</c:v>
                </c:pt>
                <c:pt idx="5">
                  <c:v>86.956521739130437</c:v>
                </c:pt>
                <c:pt idx="6">
                  <c:v>173.91304347826087</c:v>
                </c:pt>
                <c:pt idx="7">
                  <c:v>347.82608695652175</c:v>
                </c:pt>
                <c:pt idx="8">
                  <c:v>695.6521739130435</c:v>
                </c:pt>
                <c:pt idx="9">
                  <c:v>1391.304347826087</c:v>
                </c:pt>
                <c:pt idx="10">
                  <c:v>2782.608695652174</c:v>
                </c:pt>
                <c:pt idx="11">
                  <c:v>5565.217391304348</c:v>
                </c:pt>
                <c:pt idx="12">
                  <c:v>11130.434782608696</c:v>
                </c:pt>
                <c:pt idx="13">
                  <c:v>22260.869565217392</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43976.887101388886</c:v>
                </c:pt>
                <c:pt idx="1">
                  <c:v>43979.887101388886</c:v>
                </c:pt>
                <c:pt idx="2">
                  <c:v>43982.887101388886</c:v>
                </c:pt>
                <c:pt idx="3">
                  <c:v>43985.887101388886</c:v>
                </c:pt>
                <c:pt idx="4">
                  <c:v>43988.887101388886</c:v>
                </c:pt>
                <c:pt idx="5">
                  <c:v>43991.887101388886</c:v>
                </c:pt>
                <c:pt idx="6">
                  <c:v>43994.887101388886</c:v>
                </c:pt>
                <c:pt idx="7">
                  <c:v>43997.887101388886</c:v>
                </c:pt>
                <c:pt idx="8">
                  <c:v>44000.887101388886</c:v>
                </c:pt>
                <c:pt idx="9">
                  <c:v>44003.887101388886</c:v>
                </c:pt>
                <c:pt idx="10">
                  <c:v>44006.887101388886</c:v>
                </c:pt>
                <c:pt idx="11">
                  <c:v>44009.887101388886</c:v>
                </c:pt>
                <c:pt idx="12">
                  <c:v>44012.887101388886</c:v>
                </c:pt>
                <c:pt idx="13">
                  <c:v>44015.887101388886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21.739130434782609</c:v>
                </c:pt>
                <c:pt idx="3">
                  <c:v>43.478260869565219</c:v>
                </c:pt>
                <c:pt idx="4">
                  <c:v>70.434782608695656</c:v>
                </c:pt>
                <c:pt idx="5">
                  <c:v>140.86956521739131</c:v>
                </c:pt>
                <c:pt idx="6">
                  <c:v>281.73913043478262</c:v>
                </c:pt>
                <c:pt idx="7">
                  <c:v>545.86956521739137</c:v>
                </c:pt>
                <c:pt idx="8">
                  <c:v>1091.7391304347827</c:v>
                </c:pt>
                <c:pt idx="9">
                  <c:v>2183.4782608695655</c:v>
                </c:pt>
                <c:pt idx="10">
                  <c:v>4366.9565217391309</c:v>
                </c:pt>
                <c:pt idx="11">
                  <c:v>8733.9130434782619</c:v>
                </c:pt>
                <c:pt idx="12">
                  <c:v>17485.434782608696</c:v>
                </c:pt>
                <c:pt idx="13">
                  <c:v>34970.869565217392</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43976.887101388886</c:v>
                </c:pt>
                <c:pt idx="1">
                  <c:v>43979.887101388886</c:v>
                </c:pt>
                <c:pt idx="2">
                  <c:v>43982.887101388886</c:v>
                </c:pt>
                <c:pt idx="3">
                  <c:v>43985.887101388886</c:v>
                </c:pt>
                <c:pt idx="4">
                  <c:v>43988.887101388886</c:v>
                </c:pt>
                <c:pt idx="5">
                  <c:v>43991.887101388886</c:v>
                </c:pt>
                <c:pt idx="6">
                  <c:v>43994.887101388886</c:v>
                </c:pt>
                <c:pt idx="7">
                  <c:v>43997.887101388886</c:v>
                </c:pt>
                <c:pt idx="8">
                  <c:v>44000.887101388886</c:v>
                </c:pt>
                <c:pt idx="9">
                  <c:v>44003.887101388886</c:v>
                </c:pt>
                <c:pt idx="10">
                  <c:v>44006.887101388886</c:v>
                </c:pt>
                <c:pt idx="11">
                  <c:v>44009.887101388886</c:v>
                </c:pt>
                <c:pt idx="12">
                  <c:v>44012.887101388886</c:v>
                </c:pt>
                <c:pt idx="13">
                  <c:v>44015.887101388886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16.521739130434785</c:v>
                </c:pt>
                <c:pt idx="5">
                  <c:v>33.04347826086957</c:v>
                </c:pt>
                <c:pt idx="6">
                  <c:v>48.695652173913047</c:v>
                </c:pt>
                <c:pt idx="7">
                  <c:v>97.391304347826093</c:v>
                </c:pt>
                <c:pt idx="8">
                  <c:v>194.78260869565219</c:v>
                </c:pt>
                <c:pt idx="9">
                  <c:v>389.56521739130437</c:v>
                </c:pt>
                <c:pt idx="10">
                  <c:v>779.13043478260875</c:v>
                </c:pt>
                <c:pt idx="11">
                  <c:v>1558.2608695652175</c:v>
                </c:pt>
                <c:pt idx="12">
                  <c:v>3116.521739130435</c:v>
                </c:pt>
                <c:pt idx="13">
                  <c:v>6233.04347826087</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43976.887101388886</c:v>
                </c:pt>
                <c:pt idx="1">
                  <c:v>43979.887101388886</c:v>
                </c:pt>
                <c:pt idx="2">
                  <c:v>43982.887101388886</c:v>
                </c:pt>
                <c:pt idx="3">
                  <c:v>43985.887101388886</c:v>
                </c:pt>
                <c:pt idx="4">
                  <c:v>43988.887101388886</c:v>
                </c:pt>
                <c:pt idx="5">
                  <c:v>43991.887101388886</c:v>
                </c:pt>
                <c:pt idx="6">
                  <c:v>43994.887101388886</c:v>
                </c:pt>
                <c:pt idx="7">
                  <c:v>43997.887101388886</c:v>
                </c:pt>
                <c:pt idx="8">
                  <c:v>44000.887101388886</c:v>
                </c:pt>
                <c:pt idx="9">
                  <c:v>44003.887101388886</c:v>
                </c:pt>
                <c:pt idx="10">
                  <c:v>44006.887101388886</c:v>
                </c:pt>
                <c:pt idx="11">
                  <c:v>44009.887101388886</c:v>
                </c:pt>
                <c:pt idx="12">
                  <c:v>44012.887101388886</c:v>
                </c:pt>
                <c:pt idx="13">
                  <c:v>44015.887101388886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17.39130434782609</c:v>
                </c:pt>
                <c:pt idx="7">
                  <c:v>34.782608695652179</c:v>
                </c:pt>
                <c:pt idx="8">
                  <c:v>69.565217391304358</c:v>
                </c:pt>
                <c:pt idx="9">
                  <c:v>139.13043478260872</c:v>
                </c:pt>
                <c:pt idx="10">
                  <c:v>278.26086956521743</c:v>
                </c:pt>
                <c:pt idx="11">
                  <c:v>556.52173913043487</c:v>
                </c:pt>
                <c:pt idx="12">
                  <c:v>1113.0434782608697</c:v>
                </c:pt>
                <c:pt idx="13">
                  <c:v>2226.0869565217395</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Projections!$A$345</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Projections!$P$345:$BK$345</c15:sqref>
                  </c15:fullRef>
                </c:ext>
              </c:extLst>
              <c:f>Projections!$P$345:$AV$345</c:f>
              <c:numCache>
                <c:formatCode>#,##0_ ;[Red]\-#,##0\ </c:formatCode>
                <c:ptCount val="33"/>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307214.83534303075</c:v>
                </c:pt>
                <c:pt idx="20">
                  <c:v>366581.47241659305</c:v>
                </c:pt>
                <c:pt idx="21">
                  <c:v>462110.35835268447</c:v>
                </c:pt>
                <c:pt idx="22">
                  <c:v>417421.75695197133</c:v>
                </c:pt>
                <c:pt idx="23">
                  <c:v>776601.23678178014</c:v>
                </c:pt>
                <c:pt idx="24">
                  <c:v>535576.87736278086</c:v>
                </c:pt>
                <c:pt idx="25">
                  <c:v>1505283.6282735416</c:v>
                </c:pt>
                <c:pt idx="26">
                  <c:v>1007486.2274340492</c:v>
                </c:pt>
                <c:pt idx="27">
                  <c:v>1081162.9236269523</c:v>
                </c:pt>
                <c:pt idx="28">
                  <c:v>2988353.8042221214</c:v>
                </c:pt>
                <c:pt idx="29">
                  <c:v>2980642.3503831089</c:v>
                </c:pt>
                <c:pt idx="30">
                  <c:v>3016801.6222042437</c:v>
                </c:pt>
                <c:pt idx="31">
                  <c:v>3080280.2359318747</c:v>
                </c:pt>
                <c:pt idx="32">
                  <c:v>3161824.1117100432</c:v>
                </c:pt>
              </c:numCache>
            </c:numRef>
          </c:val>
          <c:smooth val="0"/>
          <c:extLst>
            <c:ext xmlns:c16="http://schemas.microsoft.com/office/drawing/2014/chart" uri="{C3380CC4-5D6E-409C-BE32-E72D297353CC}">
              <c16:uniqueId val="{00000003-5231-4BE2-97ED-54F0C3DB105C}"/>
            </c:ext>
          </c:extLst>
        </c:ser>
        <c:ser>
          <c:idx val="2"/>
          <c:order val="1"/>
          <c:tx>
            <c:strRef>
              <c:f>Projections!$A$346</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Projections!$P$346:$BK$346</c15:sqref>
                  </c15:fullRef>
                </c:ext>
              </c:extLst>
              <c:f>Projections!$P$346:$AV$346</c:f>
              <c:numCache>
                <c:formatCode>#,##0_ ;[Red]\-#,##0\ </c:formatCode>
                <c:ptCount val="33"/>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262773.41927126469</c:v>
                </c:pt>
                <c:pt idx="20">
                  <c:v>177691.1939028544</c:v>
                </c:pt>
                <c:pt idx="21">
                  <c:v>192853.94336541693</c:v>
                </c:pt>
                <c:pt idx="22">
                  <c:v>253344.27000725653</c:v>
                </c:pt>
                <c:pt idx="23">
                  <c:v>426999.78428715601</c:v>
                </c:pt>
                <c:pt idx="24">
                  <c:v>209737.36799327366</c:v>
                </c:pt>
                <c:pt idx="25">
                  <c:v>1159412.245753163</c:v>
                </c:pt>
                <c:pt idx="26">
                  <c:v>578099.21557629062</c:v>
                </c:pt>
                <c:pt idx="27">
                  <c:v>354751.36075203074</c:v>
                </c:pt>
                <c:pt idx="28">
                  <c:v>2244323.9956615889</c:v>
                </c:pt>
                <c:pt idx="29">
                  <c:v>1377097.4482461184</c:v>
                </c:pt>
                <c:pt idx="30">
                  <c:v>1351793.9528094539</c:v>
                </c:pt>
                <c:pt idx="31">
                  <c:v>1342206.0075092206</c:v>
                </c:pt>
                <c:pt idx="32">
                  <c:v>1343158.8631907988</c:v>
                </c:pt>
              </c:numCache>
            </c:numRef>
          </c:val>
          <c:smooth val="0"/>
          <c:extLst>
            <c:ext xmlns:c16="http://schemas.microsoft.com/office/drawing/2014/chart" uri="{C3380CC4-5D6E-409C-BE32-E72D297353CC}">
              <c16:uniqueId val="{00000002-9381-4A4E-BB43-DCD8EC2F4E00}"/>
            </c:ext>
          </c:extLst>
        </c:ser>
        <c:ser>
          <c:idx val="0"/>
          <c:order val="2"/>
          <c:tx>
            <c:strRef>
              <c:f>Projections!$A$347</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Projections!$P$347:$BK$347</c15:sqref>
                  </c15:fullRef>
                </c:ext>
              </c:extLst>
              <c:f>Projections!$P$347:$AV$347</c:f>
              <c:numCache>
                <c:formatCode>#,##0_ ;[Red]\-#,##0\ </c:formatCode>
                <c:ptCount val="33"/>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44728.891495247604</c:v>
                </c:pt>
                <c:pt idx="20">
                  <c:v>144907.46798650004</c:v>
                </c:pt>
                <c:pt idx="21">
                  <c:v>181438.18611984747</c:v>
                </c:pt>
                <c:pt idx="22">
                  <c:v>173150.71064765757</c:v>
                </c:pt>
                <c:pt idx="23">
                  <c:v>100993.5051653088</c:v>
                </c:pt>
                <c:pt idx="24">
                  <c:v>269572.95339470595</c:v>
                </c:pt>
                <c:pt idx="25">
                  <c:v>219028.53962313666</c:v>
                </c:pt>
                <c:pt idx="26">
                  <c:v>157573.65804915063</c:v>
                </c:pt>
                <c:pt idx="27">
                  <c:v>176227.45834120753</c:v>
                </c:pt>
                <c:pt idx="28">
                  <c:v>504467.2356295627</c:v>
                </c:pt>
                <c:pt idx="29">
                  <c:v>532293.27737563313</c:v>
                </c:pt>
                <c:pt idx="30">
                  <c:v>562560.37901915691</c:v>
                </c:pt>
                <c:pt idx="31">
                  <c:v>594442.6733543023</c:v>
                </c:pt>
                <c:pt idx="32">
                  <c:v>627439.75900956581</c:v>
                </c:pt>
              </c:numCache>
            </c:numRef>
          </c:val>
          <c:smooth val="0"/>
          <c:extLst>
            <c:ext xmlns:c16="http://schemas.microsoft.com/office/drawing/2014/chart" uri="{C3380CC4-5D6E-409C-BE32-E72D297353CC}">
              <c16:uniqueId val="{00000000-9381-4A4E-BB43-DCD8EC2F4E00}"/>
            </c:ext>
          </c:extLst>
        </c:ser>
        <c:ser>
          <c:idx val="4"/>
          <c:order val="3"/>
          <c:tx>
            <c:strRef>
              <c:f>Projections!$A$348</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Projections!$P$348:$BK$348</c15:sqref>
                  </c15:fullRef>
                </c:ext>
              </c:extLst>
              <c:f>Projections!$P$348:$AV$348</c:f>
              <c:numCache>
                <c:formatCode>#,##0_ ;[Red]\-#,##0\ </c:formatCode>
                <c:ptCount val="33"/>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31563.302331317282</c:v>
                </c:pt>
                <c:pt idx="20">
                  <c:v>105867.17701365154</c:v>
                </c:pt>
                <c:pt idx="21">
                  <c:v>125567.8816945006</c:v>
                </c:pt>
                <c:pt idx="22">
                  <c:v>16518.266314172652</c:v>
                </c:pt>
                <c:pt idx="23">
                  <c:v>17852.036103622348</c:v>
                </c:pt>
                <c:pt idx="24">
                  <c:v>0</c:v>
                </c:pt>
                <c:pt idx="25">
                  <c:v>0</c:v>
                </c:pt>
                <c:pt idx="26">
                  <c:v>25769.631393685995</c:v>
                </c:pt>
                <c:pt idx="27">
                  <c:v>0</c:v>
                </c:pt>
                <c:pt idx="28">
                  <c:v>178220.76324596221</c:v>
                </c:pt>
                <c:pt idx="29">
                  <c:v>0</c:v>
                </c:pt>
                <c:pt idx="30">
                  <c:v>0</c:v>
                </c:pt>
                <c:pt idx="31">
                  <c:v>0</c:v>
                </c:pt>
                <c:pt idx="32">
                  <c:v>0</c:v>
                </c:pt>
              </c:numCache>
            </c:numRef>
          </c:val>
          <c:smooth val="0"/>
          <c:extLst>
            <c:ext xmlns:c16="http://schemas.microsoft.com/office/drawing/2014/chart" uri="{C3380CC4-5D6E-409C-BE32-E72D297353CC}">
              <c16:uniqueId val="{00000003-9381-4A4E-BB43-DCD8EC2F4E00}"/>
            </c:ext>
          </c:extLst>
        </c:ser>
        <c:ser>
          <c:idx val="1"/>
          <c:order val="4"/>
          <c:tx>
            <c:strRef>
              <c:f>Projections!$A$349</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Projections!$P$349:$BK$349</c15:sqref>
                  </c15:fullRef>
                </c:ext>
              </c:extLst>
              <c:f>Projections!$P$349:$AV$349</c:f>
              <c:numCache>
                <c:formatCode>#,##0_ ;[Red]\-#,##0\ </c:formatCode>
                <c:ptCount val="33"/>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29440</c:v>
                </c:pt>
                <c:pt idx="16">
                  <c:v>35328</c:v>
                </c:pt>
                <c:pt idx="17">
                  <c:v>41216</c:v>
                </c:pt>
                <c:pt idx="18">
                  <c:v>47104</c:v>
                </c:pt>
                <c:pt idx="19">
                  <c:v>60293.119999999995</c:v>
                </c:pt>
                <c:pt idx="20">
                  <c:v>70656</c:v>
                </c:pt>
                <c:pt idx="21">
                  <c:v>82432</c:v>
                </c:pt>
                <c:pt idx="22">
                  <c:v>94208</c:v>
                </c:pt>
                <c:pt idx="23">
                  <c:v>113049.59999999999</c:v>
                </c:pt>
                <c:pt idx="24">
                  <c:v>131891.20000000001</c:v>
                </c:pt>
                <c:pt idx="25">
                  <c:v>150732.79999999999</c:v>
                </c:pt>
                <c:pt idx="26">
                  <c:v>169574.39999999999</c:v>
                </c:pt>
                <c:pt idx="27">
                  <c:v>188416</c:v>
                </c:pt>
                <c:pt idx="28">
                  <c:v>226099.19999999998</c:v>
                </c:pt>
                <c:pt idx="29">
                  <c:v>263782.40000000002</c:v>
                </c:pt>
                <c:pt idx="30">
                  <c:v>301465.59999999998</c:v>
                </c:pt>
                <c:pt idx="31">
                  <c:v>339148.79999999999</c:v>
                </c:pt>
                <c:pt idx="32">
                  <c:v>376832</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Projections!$A$367</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Projections!$P$367:$BK$367</c15:sqref>
                  </c15:fullRef>
                </c:ext>
              </c:extLst>
              <c:f>Projections!$P$367:$AV$367</c:f>
              <c:numCache>
                <c:formatCode>#,##0</c:formatCode>
                <c:ptCount val="33"/>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numCache>
            </c:numRef>
          </c:val>
          <c:smooth val="0"/>
          <c:extLst>
            <c:ext xmlns:c16="http://schemas.microsoft.com/office/drawing/2014/chart" uri="{C3380CC4-5D6E-409C-BE32-E72D297353CC}">
              <c16:uniqueId val="{00000000-04B6-450D-AD81-6BF382C059D1}"/>
            </c:ext>
          </c:extLst>
        </c:ser>
        <c:ser>
          <c:idx val="2"/>
          <c:order val="1"/>
          <c:tx>
            <c:strRef>
              <c:f>Projections!$A$369</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Projections!$P$369:$BK$369</c15:sqref>
                  </c15:fullRef>
                </c:ext>
              </c:extLst>
              <c:f>Projections!$P$369:$AV$369</c:f>
              <c:numCache>
                <c:formatCode>#,##0</c:formatCode>
                <c:ptCount val="33"/>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pt idx="28">
                  <c:v>524017.91793585377</c:v>
                </c:pt>
                <c:pt idx="29">
                  <c:v>611354.23759182938</c:v>
                </c:pt>
                <c:pt idx="30">
                  <c:v>698690.55724780506</c:v>
                </c:pt>
                <c:pt idx="31">
                  <c:v>786026.87690378062</c:v>
                </c:pt>
                <c:pt idx="32">
                  <c:v>873363.1965597563</c:v>
                </c:pt>
              </c:numCache>
            </c:numRef>
          </c:val>
          <c:smooth val="0"/>
          <c:extLst>
            <c:ext xmlns:c16="http://schemas.microsoft.com/office/drawing/2014/chart" uri="{C3380CC4-5D6E-409C-BE32-E72D297353CC}">
              <c16:uniqueId val="{00000002-04B6-450D-AD81-6BF382C059D1}"/>
            </c:ext>
          </c:extLst>
        </c:ser>
        <c:ser>
          <c:idx val="4"/>
          <c:order val="2"/>
          <c:tx>
            <c:strRef>
              <c:f>Projections!$A$371</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Projections!$P$371:$BK$371</c15:sqref>
                  </c15:fullRef>
                </c:ext>
              </c:extLst>
              <c:f>Projections!$P$371:$AV$371</c:f>
              <c:numCache>
                <c:formatCode>#,##0</c:formatCode>
                <c:ptCount val="33"/>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pt idx="28">
                  <c:v>822576.02580182755</c:v>
                </c:pt>
                <c:pt idx="29">
                  <c:v>959672.03010213212</c:v>
                </c:pt>
                <c:pt idx="30">
                  <c:v>1096768.0344024368</c:v>
                </c:pt>
                <c:pt idx="31">
                  <c:v>1233864.0387027413</c:v>
                </c:pt>
                <c:pt idx="32">
                  <c:v>1370960.043003046</c:v>
                </c:pt>
              </c:numCache>
            </c:numRef>
          </c:val>
          <c:smooth val="0"/>
          <c:extLst>
            <c:ext xmlns:c16="http://schemas.microsoft.com/office/drawing/2014/chart" uri="{C3380CC4-5D6E-409C-BE32-E72D297353CC}">
              <c16:uniqueId val="{00000004-04B6-450D-AD81-6BF382C059D1}"/>
            </c:ext>
          </c:extLst>
        </c:ser>
        <c:ser>
          <c:idx val="6"/>
          <c:order val="3"/>
          <c:tx>
            <c:strRef>
              <c:f>Projections!$A$373</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Projections!$P$373:$BK$373</c15:sqref>
                  </c15:fullRef>
                </c:ext>
              </c:extLst>
              <c:f>Projections!$P$373:$AV$373</c:f>
              <c:numCache>
                <c:formatCode>#,##0</c:formatCode>
                <c:ptCount val="33"/>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pt idx="28">
                  <c:v>763568.96613510128</c:v>
                </c:pt>
                <c:pt idx="29">
                  <c:v>890830.46049095143</c:v>
                </c:pt>
                <c:pt idx="30">
                  <c:v>1018091.9548468017</c:v>
                </c:pt>
                <c:pt idx="31">
                  <c:v>1145353.4492026519</c:v>
                </c:pt>
                <c:pt idx="32">
                  <c:v>1272614.943558502</c:v>
                </c:pt>
              </c:numCache>
            </c:numRef>
          </c:val>
          <c:smooth val="0"/>
          <c:extLst>
            <c:ext xmlns:c16="http://schemas.microsoft.com/office/drawing/2014/chart" uri="{C3380CC4-5D6E-409C-BE32-E72D297353CC}">
              <c16:uniqueId val="{00000006-04B6-450D-AD81-6BF382C059D1}"/>
            </c:ext>
          </c:extLst>
        </c:ser>
        <c:ser>
          <c:idx val="8"/>
          <c:order val="4"/>
          <c:tx>
            <c:strRef>
              <c:f>Projections!$A$375</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Projections!$P$375:$BK$375</c15:sqref>
                  </c15:fullRef>
                </c:ext>
              </c:extLst>
              <c:f>Projections!$P$375:$AV$375</c:f>
              <c:numCache>
                <c:formatCode>#,##0</c:formatCode>
                <c:ptCount val="33"/>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pt idx="28">
                  <c:v>637628.5253538792</c:v>
                </c:pt>
                <c:pt idx="29">
                  <c:v>743899.94624619244</c:v>
                </c:pt>
                <c:pt idx="30">
                  <c:v>850171.36713850556</c:v>
                </c:pt>
                <c:pt idx="31">
                  <c:v>956442.7880308188</c:v>
                </c:pt>
                <c:pt idx="32">
                  <c:v>1062714.2089231319</c:v>
                </c:pt>
              </c:numCache>
            </c:numRef>
          </c:val>
          <c:smooth val="0"/>
          <c:extLst>
            <c:ext xmlns:c16="http://schemas.microsoft.com/office/drawing/2014/chart" uri="{C3380CC4-5D6E-409C-BE32-E72D297353CC}">
              <c16:uniqueId val="{00000008-04B6-450D-AD81-6BF382C059D1}"/>
            </c:ext>
          </c:extLst>
        </c:ser>
        <c:ser>
          <c:idx val="10"/>
          <c:order val="5"/>
          <c:tx>
            <c:strRef>
              <c:f>Projections!$A$377</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Projections!$P$377:$BK$377</c15:sqref>
                  </c15:fullRef>
                </c:ext>
              </c:extLst>
              <c:f>Projections!$P$377:$AV$377</c:f>
              <c:numCache>
                <c:formatCode>#,##0</c:formatCode>
                <c:ptCount val="33"/>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pt idx="28">
                  <c:v>773256.69234904135</c:v>
                </c:pt>
                <c:pt idx="29">
                  <c:v>902132.80774054828</c:v>
                </c:pt>
                <c:pt idx="30">
                  <c:v>1031008.9231320551</c:v>
                </c:pt>
                <c:pt idx="31">
                  <c:v>1159885.038523562</c:v>
                </c:pt>
                <c:pt idx="32">
                  <c:v>1288761.1539150688</c:v>
                </c:pt>
              </c:numCache>
            </c:numRef>
          </c:val>
          <c:smooth val="0"/>
          <c:extLst>
            <c:ext xmlns:c16="http://schemas.microsoft.com/office/drawing/2014/chart" uri="{C3380CC4-5D6E-409C-BE32-E72D297353CC}">
              <c16:uniqueId val="{0000000A-04B6-450D-AD81-6BF382C059D1}"/>
            </c:ext>
          </c:extLst>
        </c:ser>
        <c:ser>
          <c:idx val="12"/>
          <c:order val="6"/>
          <c:tx>
            <c:strRef>
              <c:f>Projections!$A$379</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Projections!$P$379:$BK$379</c15:sqref>
                  </c15:fullRef>
                </c:ext>
              </c:extLst>
              <c:f>Projections!$P$379:$AV$379</c:f>
              <c:numCache>
                <c:formatCode>#,##0</c:formatCode>
                <c:ptCount val="33"/>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pt idx="28">
                  <c:v>1062127.074001075</c:v>
                </c:pt>
                <c:pt idx="29">
                  <c:v>1239148.2530012543</c:v>
                </c:pt>
                <c:pt idx="30">
                  <c:v>1416169.4320014333</c:v>
                </c:pt>
                <c:pt idx="31">
                  <c:v>1593190.6110016126</c:v>
                </c:pt>
                <c:pt idx="32">
                  <c:v>1770211.7900017917</c:v>
                </c:pt>
              </c:numCache>
            </c:numRef>
          </c:val>
          <c:smooth val="0"/>
          <c:extLst>
            <c:ext xmlns:c16="http://schemas.microsoft.com/office/drawing/2014/chart" uri="{C3380CC4-5D6E-409C-BE32-E72D297353CC}">
              <c16:uniqueId val="{0000000C-04B6-450D-AD81-6BF382C059D1}"/>
            </c:ext>
          </c:extLst>
        </c:ser>
        <c:ser>
          <c:idx val="14"/>
          <c:order val="7"/>
          <c:tx>
            <c:strRef>
              <c:f>Projections!$A$381</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Projections!$P$381:$BK$381</c15:sqref>
                  </c15:fullRef>
                </c:ext>
              </c:extLst>
              <c:f>Projections!$P$381:$AV$381</c:f>
              <c:numCache>
                <c:formatCode>#,##0</c:formatCode>
                <c:ptCount val="33"/>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numCache>
            </c:numRef>
          </c:val>
          <c:smooth val="0"/>
          <c:extLst>
            <c:ext xmlns:c16="http://schemas.microsoft.com/office/drawing/2014/chart" uri="{C3380CC4-5D6E-409C-BE32-E72D297353CC}">
              <c16:uniqueId val="{0000000E-04B6-450D-AD81-6BF382C059D1}"/>
            </c:ext>
          </c:extLst>
        </c:ser>
        <c:ser>
          <c:idx val="16"/>
          <c:order val="8"/>
          <c:tx>
            <c:strRef>
              <c:f>Projections!$A$383</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Projections!$P$383:$BK$383</c15:sqref>
                  </c15:fullRef>
                </c:ext>
              </c:extLst>
              <c:f>Projections!$P$383:$AV$383</c:f>
              <c:numCache>
                <c:formatCode>#,##0</c:formatCode>
                <c:ptCount val="33"/>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pt idx="28">
                  <c:v>48438.631069700765</c:v>
                </c:pt>
                <c:pt idx="29">
                  <c:v>56511.736247984227</c:v>
                </c:pt>
                <c:pt idx="30">
                  <c:v>64584.841426267689</c:v>
                </c:pt>
                <c:pt idx="31">
                  <c:v>72657.946604551151</c:v>
                </c:pt>
                <c:pt idx="32">
                  <c:v>80731.051782834606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Projections!$A$367</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Projections!$P$368:$BK$368</c15:sqref>
                  </c15:fullRef>
                </c:ext>
              </c:extLst>
              <c:f>Projections!$P$368:$AV$368</c:f>
              <c:numCache>
                <c:formatCode>#,##0</c:formatCode>
                <c:ptCount val="33"/>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pt idx="28">
                  <c:v>20985.376384160543</c:v>
                </c:pt>
                <c:pt idx="29">
                  <c:v>24482.939114853965</c:v>
                </c:pt>
                <c:pt idx="30">
                  <c:v>27980.501845547391</c:v>
                </c:pt>
                <c:pt idx="31">
                  <c:v>31478.064576240813</c:v>
                </c:pt>
                <c:pt idx="32">
                  <c:v>34975.627306934235</c:v>
                </c:pt>
              </c:numCache>
            </c:numRef>
          </c:val>
          <c:smooth val="0"/>
          <c:extLst>
            <c:ext xmlns:c16="http://schemas.microsoft.com/office/drawing/2014/chart" uri="{C3380CC4-5D6E-409C-BE32-E72D297353CC}">
              <c16:uniqueId val="{00000001-EBAD-48A5-9277-83F388186C0C}"/>
            </c:ext>
          </c:extLst>
        </c:ser>
        <c:ser>
          <c:idx val="3"/>
          <c:order val="1"/>
          <c:tx>
            <c:strRef>
              <c:f>Projections!$A$369</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Projections!$P$370:$BK$370</c15:sqref>
                  </c15:fullRef>
                </c:ext>
              </c:extLst>
              <c:f>Projections!$P$370:$AV$370</c:f>
              <c:numCache>
                <c:formatCode>#,##0</c:formatCode>
                <c:ptCount val="33"/>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pt idx="28">
                  <c:v>41921.433434868304</c:v>
                </c:pt>
                <c:pt idx="29">
                  <c:v>48908.339007346352</c:v>
                </c:pt>
                <c:pt idx="30">
                  <c:v>55895.244579824408</c:v>
                </c:pt>
                <c:pt idx="31">
                  <c:v>62882.150152302449</c:v>
                </c:pt>
                <c:pt idx="32">
                  <c:v>69869.055724780512</c:v>
                </c:pt>
              </c:numCache>
            </c:numRef>
          </c:val>
          <c:smooth val="0"/>
          <c:extLst>
            <c:ext xmlns:c16="http://schemas.microsoft.com/office/drawing/2014/chart" uri="{C3380CC4-5D6E-409C-BE32-E72D297353CC}">
              <c16:uniqueId val="{00000003-EBAD-48A5-9277-83F388186C0C}"/>
            </c:ext>
          </c:extLst>
        </c:ser>
        <c:ser>
          <c:idx val="5"/>
          <c:order val="2"/>
          <c:tx>
            <c:strRef>
              <c:f>Projections!$A$371</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Projections!$P$372:$BK$372</c15:sqref>
                  </c15:fullRef>
                </c:ext>
              </c:extLst>
              <c:f>Projections!$P$372:$AV$372</c:f>
              <c:numCache>
                <c:formatCode>#,##0</c:formatCode>
                <c:ptCount val="33"/>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pt idx="28">
                  <c:v>29612.73692886579</c:v>
                </c:pt>
                <c:pt idx="29">
                  <c:v>34548.193083676757</c:v>
                </c:pt>
                <c:pt idx="30">
                  <c:v>39483.64923848772</c:v>
                </c:pt>
                <c:pt idx="31">
                  <c:v>44419.105393298683</c:v>
                </c:pt>
                <c:pt idx="32">
                  <c:v>49354.561548109654</c:v>
                </c:pt>
              </c:numCache>
            </c:numRef>
          </c:val>
          <c:smooth val="0"/>
          <c:extLst>
            <c:ext xmlns:c16="http://schemas.microsoft.com/office/drawing/2014/chart" uri="{C3380CC4-5D6E-409C-BE32-E72D297353CC}">
              <c16:uniqueId val="{00000005-EBAD-48A5-9277-83F388186C0C}"/>
            </c:ext>
          </c:extLst>
        </c:ser>
        <c:ser>
          <c:idx val="7"/>
          <c:order val="3"/>
          <c:tx>
            <c:strRef>
              <c:f>Projections!$A$373</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Projections!$P$374:$BK$374</c15:sqref>
                  </c15:fullRef>
                </c:ext>
              </c:extLst>
              <c:f>Projections!$P$374:$AV$374</c:f>
              <c:numCache>
                <c:formatCode>#,##0</c:formatCode>
                <c:ptCount val="33"/>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pt idx="28">
                  <c:v>9926.3965597563165</c:v>
                </c:pt>
                <c:pt idx="29">
                  <c:v>11580.795986382369</c:v>
                </c:pt>
                <c:pt idx="30">
                  <c:v>13235.195413008421</c:v>
                </c:pt>
                <c:pt idx="31">
                  <c:v>14889.594839634474</c:v>
                </c:pt>
                <c:pt idx="32">
                  <c:v>16543.994266260524</c:v>
                </c:pt>
              </c:numCache>
            </c:numRef>
          </c:val>
          <c:smooth val="0"/>
          <c:extLst>
            <c:ext xmlns:c16="http://schemas.microsoft.com/office/drawing/2014/chart" uri="{C3380CC4-5D6E-409C-BE32-E72D297353CC}">
              <c16:uniqueId val="{00000007-EBAD-48A5-9277-83F388186C0C}"/>
            </c:ext>
          </c:extLst>
        </c:ser>
        <c:ser>
          <c:idx val="9"/>
          <c:order val="4"/>
          <c:tx>
            <c:strRef>
              <c:f>Projections!$A$375</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Projections!$P$376:$BK$376</c15:sqref>
                  </c15:fullRef>
                </c:ext>
              </c:extLst>
              <c:f>Projections!$P$376:$AV$376</c:f>
              <c:numCache>
                <c:formatCode>#,##0</c:formatCode>
                <c:ptCount val="33"/>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pt idx="28">
                  <c:v>2550.514101415517</c:v>
                </c:pt>
                <c:pt idx="29">
                  <c:v>2975.5997849847699</c:v>
                </c:pt>
                <c:pt idx="30">
                  <c:v>3400.6854685540225</c:v>
                </c:pt>
                <c:pt idx="31">
                  <c:v>3825.7711521232754</c:v>
                </c:pt>
                <c:pt idx="32">
                  <c:v>4250.856835692528</c:v>
                </c:pt>
              </c:numCache>
            </c:numRef>
          </c:val>
          <c:smooth val="0"/>
          <c:extLst>
            <c:ext xmlns:c16="http://schemas.microsoft.com/office/drawing/2014/chart" uri="{C3380CC4-5D6E-409C-BE32-E72D297353CC}">
              <c16:uniqueId val="{00000009-EBAD-48A5-9277-83F388186C0C}"/>
            </c:ext>
          </c:extLst>
        </c:ser>
        <c:ser>
          <c:idx val="11"/>
          <c:order val="5"/>
          <c:tx>
            <c:strRef>
              <c:f>Projections!$A$377</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Projections!$P$378:$BK$378</c15:sqref>
                  </c15:fullRef>
                </c:ext>
              </c:extLst>
              <c:f>Projections!$P$378:$AV$378</c:f>
              <c:numCache>
                <c:formatCode>#,##0</c:formatCode>
                <c:ptCount val="33"/>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pt idx="28">
                  <c:v>1546.5133846980827</c:v>
                </c:pt>
                <c:pt idx="29">
                  <c:v>1804.2656154810966</c:v>
                </c:pt>
                <c:pt idx="30">
                  <c:v>2062.0178462641102</c:v>
                </c:pt>
                <c:pt idx="31">
                  <c:v>2319.7700770471242</c:v>
                </c:pt>
                <c:pt idx="32">
                  <c:v>2577.5223078301378</c:v>
                </c:pt>
              </c:numCache>
            </c:numRef>
          </c:val>
          <c:smooth val="0"/>
          <c:extLst>
            <c:ext xmlns:c16="http://schemas.microsoft.com/office/drawing/2014/chart" uri="{C3380CC4-5D6E-409C-BE32-E72D297353CC}">
              <c16:uniqueId val="{0000000B-EBAD-48A5-9277-83F388186C0C}"/>
            </c:ext>
          </c:extLst>
        </c:ser>
        <c:ser>
          <c:idx val="13"/>
          <c:order val="6"/>
          <c:tx>
            <c:strRef>
              <c:f>Projections!$A$379</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Projections!$P$380:$BK$380</c15:sqref>
                  </c15:fullRef>
                </c:ext>
              </c:extLst>
              <c:f>Projections!$P$380:$AV$380</c:f>
              <c:numCache>
                <c:formatCode>#,##0</c:formatCode>
                <c:ptCount val="33"/>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pt idx="28">
                  <c:v>2124.25414800215</c:v>
                </c:pt>
                <c:pt idx="29">
                  <c:v>2478.2965060025085</c:v>
                </c:pt>
                <c:pt idx="30">
                  <c:v>2832.3388640028666</c:v>
                </c:pt>
                <c:pt idx="31">
                  <c:v>3186.3812220032255</c:v>
                </c:pt>
                <c:pt idx="32">
                  <c:v>3540.4235800035835</c:v>
                </c:pt>
              </c:numCache>
            </c:numRef>
          </c:val>
          <c:smooth val="0"/>
          <c:extLst>
            <c:ext xmlns:c16="http://schemas.microsoft.com/office/drawing/2014/chart" uri="{C3380CC4-5D6E-409C-BE32-E72D297353CC}">
              <c16:uniqueId val="{0000000D-EBAD-48A5-9277-83F388186C0C}"/>
            </c:ext>
          </c:extLst>
        </c:ser>
        <c:ser>
          <c:idx val="15"/>
          <c:order val="7"/>
          <c:tx>
            <c:strRef>
              <c:f>Projections!$A$381</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Projections!$P$382:$BK$382</c15:sqref>
                  </c15:fullRef>
                </c:ext>
              </c:extLst>
              <c:f>Projections!$P$382:$AV$382</c:f>
              <c:numCache>
                <c:formatCode>#,##0</c:formatCode>
                <c:ptCount val="33"/>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pt idx="28">
                  <c:v>283.58616735352086</c:v>
                </c:pt>
                <c:pt idx="29">
                  <c:v>330.85052857910767</c:v>
                </c:pt>
                <c:pt idx="30">
                  <c:v>378.11488980469454</c:v>
                </c:pt>
                <c:pt idx="31">
                  <c:v>425.3792510302813</c:v>
                </c:pt>
                <c:pt idx="32">
                  <c:v>472.64361225586811</c:v>
                </c:pt>
              </c:numCache>
            </c:numRef>
          </c:val>
          <c:smooth val="0"/>
          <c:extLst>
            <c:ext xmlns:c16="http://schemas.microsoft.com/office/drawing/2014/chart" uri="{C3380CC4-5D6E-409C-BE32-E72D297353CC}">
              <c16:uniqueId val="{0000000F-EBAD-48A5-9277-83F388186C0C}"/>
            </c:ext>
          </c:extLst>
        </c:ser>
        <c:ser>
          <c:idx val="17"/>
          <c:order val="8"/>
          <c:tx>
            <c:strRef>
              <c:f>Projections!$A$383</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Projections!$P$384:$BK$384</c15:sqref>
                  </c15:fullRef>
                </c:ext>
              </c:extLst>
              <c:f>Projections!$P$384:$AV$384</c:f>
              <c:numCache>
                <c:formatCode>#,##0</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Projections!$A$396</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Projections!$P$396:$BK$396</c15:sqref>
                  </c15:fullRef>
                </c:ext>
              </c:extLst>
              <c:f>Projections!$P$396:$AV$396</c:f>
              <c:numCache>
                <c:formatCode>#,##0</c:formatCode>
                <c:ptCount val="33"/>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pt idx="28">
                  <c:v>2260992</c:v>
                </c:pt>
                <c:pt idx="29">
                  <c:v>2637824</c:v>
                </c:pt>
                <c:pt idx="30">
                  <c:v>3014656</c:v>
                </c:pt>
                <c:pt idx="31">
                  <c:v>3391488</c:v>
                </c:pt>
                <c:pt idx="32">
                  <c:v>3768320</c:v>
                </c:pt>
              </c:numCache>
            </c:numRef>
          </c:val>
          <c:smooth val="0"/>
          <c:extLst>
            <c:ext xmlns:c16="http://schemas.microsoft.com/office/drawing/2014/chart" uri="{C3380CC4-5D6E-409C-BE32-E72D297353CC}">
              <c16:uniqueId val="{0000001E-05DD-4DD4-A5B5-12D162507280}"/>
            </c:ext>
          </c:extLst>
        </c:ser>
        <c:ser>
          <c:idx val="4"/>
          <c:order val="1"/>
          <c:tx>
            <c:strRef>
              <c:f>Projections!$A$394</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Projections!$P$394:$BK$394</c15:sqref>
                  </c15:fullRef>
                </c:ext>
              </c:extLst>
              <c:f>Projections!$P$394:$AV$394</c:f>
              <c:numCache>
                <c:formatCode>#,##0</c:formatCode>
                <c:ptCount val="33"/>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pt idx="28">
                  <c:v>658636.80000000005</c:v>
                </c:pt>
                <c:pt idx="29">
                  <c:v>768409.60000000009</c:v>
                </c:pt>
                <c:pt idx="30">
                  <c:v>878182.40000000002</c:v>
                </c:pt>
                <c:pt idx="31">
                  <c:v>987955.20000000007</c:v>
                </c:pt>
                <c:pt idx="32">
                  <c:v>1097728</c:v>
                </c:pt>
              </c:numCache>
            </c:numRef>
          </c:val>
          <c:smooth val="0"/>
          <c:extLst>
            <c:ext xmlns:c16="http://schemas.microsoft.com/office/drawing/2014/chart" uri="{C3380CC4-5D6E-409C-BE32-E72D297353CC}">
              <c16:uniqueId val="{0000001C-05DD-4DD4-A5B5-12D162507280}"/>
            </c:ext>
          </c:extLst>
        </c:ser>
        <c:ser>
          <c:idx val="10"/>
          <c:order val="2"/>
          <c:tx>
            <c:strRef>
              <c:f>Projections!$A$400</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Projections!$P$400:$BK$400</c15:sqref>
                  </c15:fullRef>
                </c:ext>
              </c:extLst>
              <c:f>Projections!$P$400:$AV$400</c:f>
              <c:numCache>
                <c:formatCode>#,##0</c:formatCode>
                <c:ptCount val="33"/>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pt idx="28">
                  <c:v>761856</c:v>
                </c:pt>
                <c:pt idx="29">
                  <c:v>888832</c:v>
                </c:pt>
                <c:pt idx="30">
                  <c:v>1015808</c:v>
                </c:pt>
                <c:pt idx="31">
                  <c:v>1142784</c:v>
                </c:pt>
                <c:pt idx="32">
                  <c:v>1269760</c:v>
                </c:pt>
              </c:numCache>
            </c:numRef>
          </c:val>
          <c:smooth val="0"/>
          <c:extLst>
            <c:ext xmlns:c16="http://schemas.microsoft.com/office/drawing/2014/chart" uri="{C3380CC4-5D6E-409C-BE32-E72D297353CC}">
              <c16:uniqueId val="{00000022-05DD-4DD4-A5B5-12D162507280}"/>
            </c:ext>
          </c:extLst>
        </c:ser>
        <c:ser>
          <c:idx val="0"/>
          <c:order val="3"/>
          <c:tx>
            <c:strRef>
              <c:f>Projections!$A$390</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Projections!$P$390:$BK$390</c15:sqref>
                  </c15:fullRef>
                </c:ext>
              </c:extLst>
              <c:f>Projections!$P$390:$AV$390</c:f>
              <c:numCache>
                <c:formatCode>#,##0</c:formatCode>
                <c:ptCount val="33"/>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pt idx="28">
                  <c:v>1808793.5999999999</c:v>
                </c:pt>
                <c:pt idx="29">
                  <c:v>2110259.2000000002</c:v>
                </c:pt>
                <c:pt idx="30">
                  <c:v>2411724.7999999998</c:v>
                </c:pt>
                <c:pt idx="31">
                  <c:v>2713190.3999999999</c:v>
                </c:pt>
                <c:pt idx="32">
                  <c:v>3014656</c:v>
                </c:pt>
              </c:numCache>
            </c:numRef>
          </c:val>
          <c:smooth val="0"/>
          <c:extLst>
            <c:ext xmlns:c16="http://schemas.microsoft.com/office/drawing/2014/chart" uri="{C3380CC4-5D6E-409C-BE32-E72D297353CC}">
              <c16:uniqueId val="{00000018-05DD-4DD4-A5B5-12D162507280}"/>
            </c:ext>
          </c:extLst>
        </c:ser>
        <c:ser>
          <c:idx val="2"/>
          <c:order val="4"/>
          <c:tx>
            <c:strRef>
              <c:f>Projections!$A$392</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Projections!$P$392:$BK$392</c15:sqref>
                  </c15:fullRef>
                </c:ext>
              </c:extLst>
              <c:f>Projections!$P$392:$AV$392</c:f>
              <c:numCache>
                <c:formatCode>#,##0</c:formatCode>
                <c:ptCount val="33"/>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pt idx="28">
                  <c:v>481689.60000000003</c:v>
                </c:pt>
                <c:pt idx="29">
                  <c:v>561971.20000000007</c:v>
                </c:pt>
                <c:pt idx="30">
                  <c:v>642252.80000000005</c:v>
                </c:pt>
                <c:pt idx="31">
                  <c:v>722534.40000000002</c:v>
                </c:pt>
                <c:pt idx="32">
                  <c:v>802816</c:v>
                </c:pt>
              </c:numCache>
            </c:numRef>
          </c:val>
          <c:smooth val="0"/>
          <c:extLst>
            <c:ext xmlns:c16="http://schemas.microsoft.com/office/drawing/2014/chart" uri="{C3380CC4-5D6E-409C-BE32-E72D297353CC}">
              <c16:uniqueId val="{0000001A-05DD-4DD4-A5B5-12D162507280}"/>
            </c:ext>
          </c:extLst>
        </c:ser>
        <c:ser>
          <c:idx val="8"/>
          <c:order val="5"/>
          <c:tx>
            <c:strRef>
              <c:f>Projections!$A$398</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Projections!$P$398:$BK$398</c15:sqref>
                  </c15:fullRef>
                </c:ext>
              </c:extLst>
              <c:f>Projections!$P$398:$AV$398</c:f>
              <c:numCache>
                <c:formatCode>#,##0</c:formatCode>
                <c:ptCount val="33"/>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pt idx="28">
                  <c:v>21577.727999999999</c:v>
                </c:pt>
                <c:pt idx="29">
                  <c:v>25174.016</c:v>
                </c:pt>
                <c:pt idx="30">
                  <c:v>28770.304</c:v>
                </c:pt>
                <c:pt idx="31">
                  <c:v>32366.591999999997</c:v>
                </c:pt>
                <c:pt idx="32">
                  <c:v>35962.879999999997</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Projections!$A$396</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Projections!$P$397:$BK$397</c15:sqref>
                  </c15:fullRef>
                </c:ext>
              </c:extLst>
              <c:f>Projections!$P$397:$AV$397</c:f>
              <c:numCache>
                <c:formatCode>#,##0</c:formatCode>
                <c:ptCount val="33"/>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pt idx="28">
                  <c:v>135659.51999999999</c:v>
                </c:pt>
                <c:pt idx="29">
                  <c:v>158269.44</c:v>
                </c:pt>
                <c:pt idx="30">
                  <c:v>180879.35999999999</c:v>
                </c:pt>
                <c:pt idx="31">
                  <c:v>203489.28</c:v>
                </c:pt>
                <c:pt idx="32">
                  <c:v>226099.19999999998</c:v>
                </c:pt>
              </c:numCache>
            </c:numRef>
          </c:val>
          <c:smooth val="0"/>
          <c:extLst>
            <c:ext xmlns:c16="http://schemas.microsoft.com/office/drawing/2014/chart" uri="{C3380CC4-5D6E-409C-BE32-E72D297353CC}">
              <c16:uniqueId val="{00000007-65B4-47F9-9B97-64FB989C8893}"/>
            </c:ext>
          </c:extLst>
        </c:ser>
        <c:ser>
          <c:idx val="5"/>
          <c:order val="1"/>
          <c:tx>
            <c:strRef>
              <c:f>Projections!$A$394</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Projections!$P$395:$BK$395</c15:sqref>
                  </c15:fullRef>
                </c:ext>
              </c:extLst>
              <c:f>Projections!$P$395:$AV$395</c:f>
              <c:numCache>
                <c:formatCode>#,##0</c:formatCode>
                <c:ptCount val="33"/>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pt idx="28">
                  <c:v>41494.118400000007</c:v>
                </c:pt>
                <c:pt idx="29">
                  <c:v>48409.804800000005</c:v>
                </c:pt>
                <c:pt idx="30">
                  <c:v>55325.491200000004</c:v>
                </c:pt>
                <c:pt idx="31">
                  <c:v>62241.177600000003</c:v>
                </c:pt>
                <c:pt idx="32">
                  <c:v>69156.864000000001</c:v>
                </c:pt>
              </c:numCache>
            </c:numRef>
          </c:val>
          <c:smooth val="0"/>
          <c:extLst>
            <c:ext xmlns:c16="http://schemas.microsoft.com/office/drawing/2014/chart" uri="{C3380CC4-5D6E-409C-BE32-E72D297353CC}">
              <c16:uniqueId val="{00000005-65B4-47F9-9B97-64FB989C8893}"/>
            </c:ext>
          </c:extLst>
        </c:ser>
        <c:ser>
          <c:idx val="1"/>
          <c:order val="2"/>
          <c:tx>
            <c:strRef>
              <c:f>Projections!$A$390</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Projections!$P$391:$BK$391</c15:sqref>
                  </c15:fullRef>
                </c:ext>
              </c:extLst>
              <c:f>Projections!$P$391:$AV$391</c:f>
              <c:numCache>
                <c:formatCode>#,##0</c:formatCode>
                <c:ptCount val="33"/>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pt idx="28">
                  <c:v>189923.32799999998</c:v>
                </c:pt>
                <c:pt idx="29">
                  <c:v>221577.21600000001</c:v>
                </c:pt>
                <c:pt idx="30">
                  <c:v>253231.10399999996</c:v>
                </c:pt>
                <c:pt idx="31">
                  <c:v>284884.99199999997</c:v>
                </c:pt>
                <c:pt idx="32">
                  <c:v>316538.88</c:v>
                </c:pt>
              </c:numCache>
            </c:numRef>
          </c:val>
          <c:smooth val="0"/>
          <c:extLst>
            <c:ext xmlns:c16="http://schemas.microsoft.com/office/drawing/2014/chart" uri="{C3380CC4-5D6E-409C-BE32-E72D297353CC}">
              <c16:uniqueId val="{00000001-65B4-47F9-9B97-64FB989C8893}"/>
            </c:ext>
          </c:extLst>
        </c:ser>
        <c:ser>
          <c:idx val="3"/>
          <c:order val="3"/>
          <c:tx>
            <c:strRef>
              <c:f>Projections!$A$392</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Projections!$P$393:$BK$393</c15:sqref>
                  </c15:fullRef>
                </c:ext>
              </c:extLst>
              <c:f>Projections!$P$393:$AV$393</c:f>
              <c:numCache>
                <c:formatCode>#,##0</c:formatCode>
                <c:ptCount val="33"/>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pt idx="28">
                  <c:v>35163.340799999998</c:v>
                </c:pt>
                <c:pt idx="29">
                  <c:v>41023.897600000004</c:v>
                </c:pt>
                <c:pt idx="30">
                  <c:v>46884.454400000002</c:v>
                </c:pt>
                <c:pt idx="31">
                  <c:v>52745.011200000001</c:v>
                </c:pt>
                <c:pt idx="32">
                  <c:v>58605.567999999999</c:v>
                </c:pt>
              </c:numCache>
            </c:numRef>
          </c:val>
          <c:smooth val="0"/>
          <c:extLst>
            <c:ext xmlns:c16="http://schemas.microsoft.com/office/drawing/2014/chart" uri="{C3380CC4-5D6E-409C-BE32-E72D297353CC}">
              <c16:uniqueId val="{00000003-65B4-47F9-9B97-64FB989C8893}"/>
            </c:ext>
          </c:extLst>
        </c:ser>
        <c:ser>
          <c:idx val="9"/>
          <c:order val="4"/>
          <c:tx>
            <c:strRef>
              <c:f>Projections!$A$398</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Projections!$P$334:$BK$334</c15:sqref>
                  </c15:fullRef>
                </c:ext>
              </c:extLst>
              <c:f>Projections!$P$334:$AV$334</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44015.75</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Projections!$P$399:$BK$399</c15:sqref>
                  </c15:fullRef>
                </c:ext>
              </c:extLst>
              <c:f>Projections!$P$399:$AV$399</c:f>
              <c:numCache>
                <c:formatCode>#,##0</c:formatCode>
                <c:ptCount val="33"/>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pt idx="28">
                  <c:v>1208.352768</c:v>
                </c:pt>
                <c:pt idx="29">
                  <c:v>1409.7448959999999</c:v>
                </c:pt>
                <c:pt idx="30">
                  <c:v>1611.1370240000001</c:v>
                </c:pt>
                <c:pt idx="31">
                  <c:v>1812.5291519999998</c:v>
                </c:pt>
                <c:pt idx="32">
                  <c:v>2013.9212799999998</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65</xdr:col>
      <xdr:colOff>9526</xdr:colOff>
      <xdr:row>333</xdr:row>
      <xdr:rowOff>104775</xdr:rowOff>
    </xdr:from>
    <xdr:to>
      <xdr:col>76</xdr:col>
      <xdr:colOff>600075</xdr:colOff>
      <xdr:row>365</xdr:row>
      <xdr:rowOff>104775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64</xdr:col>
      <xdr:colOff>736455</xdr:colOff>
      <xdr:row>405</xdr:row>
      <xdr:rowOff>120114</xdr:rowOff>
    </xdr:from>
    <xdr:to>
      <xdr:col>77</xdr:col>
      <xdr:colOff>19050</xdr:colOff>
      <xdr:row>428</xdr:row>
      <xdr:rowOff>129639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65</xdr:col>
      <xdr:colOff>3031</xdr:colOff>
      <xdr:row>429</xdr:row>
      <xdr:rowOff>124876</xdr:rowOff>
    </xdr:from>
    <xdr:to>
      <xdr:col>77</xdr:col>
      <xdr:colOff>28575</xdr:colOff>
      <xdr:row>446</xdr:row>
      <xdr:rowOff>101064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64</xdr:col>
      <xdr:colOff>741217</xdr:colOff>
      <xdr:row>447</xdr:row>
      <xdr:rowOff>105825</xdr:rowOff>
    </xdr:from>
    <xdr:to>
      <xdr:col>77</xdr:col>
      <xdr:colOff>38099</xdr:colOff>
      <xdr:row>463</xdr:row>
      <xdr:rowOff>101064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64</xdr:col>
      <xdr:colOff>741219</xdr:colOff>
      <xdr:row>464</xdr:row>
      <xdr:rowOff>124875</xdr:rowOff>
    </xdr:from>
    <xdr:to>
      <xdr:col>77</xdr:col>
      <xdr:colOff>19050</xdr:colOff>
      <xdr:row>483</xdr:row>
      <xdr:rowOff>120114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64</xdr:col>
      <xdr:colOff>738187</xdr:colOff>
      <xdr:row>367</xdr:row>
      <xdr:rowOff>119062</xdr:rowOff>
    </xdr:from>
    <xdr:to>
      <xdr:col>77</xdr:col>
      <xdr:colOff>19050</xdr:colOff>
      <xdr:row>387</xdr:row>
      <xdr:rowOff>118382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64</xdr:col>
      <xdr:colOff>740228</xdr:colOff>
      <xdr:row>388</xdr:row>
      <xdr:rowOff>117021</xdr:rowOff>
    </xdr:from>
    <xdr:to>
      <xdr:col>76</xdr:col>
      <xdr:colOff>590550</xdr:colOff>
      <xdr:row>404</xdr:row>
      <xdr:rowOff>100692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78</xdr:col>
      <xdr:colOff>1</xdr:colOff>
      <xdr:row>333</xdr:row>
      <xdr:rowOff>104775</xdr:rowOff>
    </xdr:from>
    <xdr:to>
      <xdr:col>90</xdr:col>
      <xdr:colOff>161925</xdr:colOff>
      <xdr:row>365</xdr:row>
      <xdr:rowOff>104775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77</xdr:col>
      <xdr:colOff>607867</xdr:colOff>
      <xdr:row>405</xdr:row>
      <xdr:rowOff>101064</xdr:rowOff>
    </xdr:from>
    <xdr:to>
      <xdr:col>90</xdr:col>
      <xdr:colOff>209550</xdr:colOff>
      <xdr:row>428</xdr:row>
      <xdr:rowOff>110589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77</xdr:col>
      <xdr:colOff>598343</xdr:colOff>
      <xdr:row>429</xdr:row>
      <xdr:rowOff>115351</xdr:rowOff>
    </xdr:from>
    <xdr:to>
      <xdr:col>90</xdr:col>
      <xdr:colOff>200025</xdr:colOff>
      <xdr:row>446</xdr:row>
      <xdr:rowOff>91539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78</xdr:col>
      <xdr:colOff>3029</xdr:colOff>
      <xdr:row>447</xdr:row>
      <xdr:rowOff>105825</xdr:rowOff>
    </xdr:from>
    <xdr:to>
      <xdr:col>90</xdr:col>
      <xdr:colOff>219074</xdr:colOff>
      <xdr:row>463</xdr:row>
      <xdr:rowOff>101064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78</xdr:col>
      <xdr:colOff>22081</xdr:colOff>
      <xdr:row>464</xdr:row>
      <xdr:rowOff>124875</xdr:rowOff>
    </xdr:from>
    <xdr:to>
      <xdr:col>90</xdr:col>
      <xdr:colOff>228600</xdr:colOff>
      <xdr:row>483</xdr:row>
      <xdr:rowOff>120114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77</xdr:col>
      <xdr:colOff>600074</xdr:colOff>
      <xdr:row>367</xdr:row>
      <xdr:rowOff>128587</xdr:rowOff>
    </xdr:from>
    <xdr:to>
      <xdr:col>90</xdr:col>
      <xdr:colOff>200025</xdr:colOff>
      <xdr:row>387</xdr:row>
      <xdr:rowOff>127907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77</xdr:col>
      <xdr:colOff>606878</xdr:colOff>
      <xdr:row>388</xdr:row>
      <xdr:rowOff>117021</xdr:rowOff>
    </xdr:from>
    <xdr:to>
      <xdr:col>90</xdr:col>
      <xdr:colOff>161925</xdr:colOff>
      <xdr:row>404</xdr:row>
      <xdr:rowOff>100692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cmmid.github.io/topics/covid19/global_cfr_estimat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dc.gov/coronavirus/2019-ncov/need-extra-precautions/racial-ethnic-minorities.html" TargetMode="External"/><Relationship Id="rId2" Type="http://schemas.openxmlformats.org/officeDocument/2006/relationships/hyperlink" Target="https://www.cdc.gov/coronavirus/2019-ncov/need-extra-precautions/evidence-table.html" TargetMode="External"/><Relationship Id="rId1" Type="http://schemas.openxmlformats.org/officeDocument/2006/relationships/hyperlink" Target="https://www.cdc.gov/coronavirus/2019-ncov/need-extra-precautions/older-adults.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cdc.gov/flu/pandemic-resources/basics/past-pandemics.html" TargetMode="External"/><Relationship Id="rId2" Type="http://schemas.openxmlformats.org/officeDocument/2006/relationships/hyperlink" Target="https://www.cdc.gov/nchs/fastats/deaths.htm" TargetMode="External"/><Relationship Id="rId1" Type="http://schemas.openxmlformats.org/officeDocument/2006/relationships/hyperlink" Target="https://en.wikipedia.org/wiki/United_States_military_casualties_of_war" TargetMode="External"/><Relationship Id="rId5" Type="http://schemas.openxmlformats.org/officeDocument/2006/relationships/printerSettings" Target="../printerSettings/printerSettings4.bin"/><Relationship Id="rId4" Type="http://schemas.openxmlformats.org/officeDocument/2006/relationships/hyperlink" Target="https://en.wikipedia.org/wiki/List_of_disasters_in_the_United_States_by_death_to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C31" sqref="C31"/>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535</v>
      </c>
    </row>
    <row r="3" spans="2:2" x14ac:dyDescent="0.25">
      <c r="B3" t="s">
        <v>52</v>
      </c>
    </row>
    <row r="4" spans="2:2" x14ac:dyDescent="0.25">
      <c r="B4" t="s">
        <v>62</v>
      </c>
    </row>
    <row r="5" spans="2:2" x14ac:dyDescent="0.25">
      <c r="B5" t="s">
        <v>64</v>
      </c>
    </row>
    <row r="6" spans="2:2" x14ac:dyDescent="0.25">
      <c r="B6" t="s">
        <v>65</v>
      </c>
    </row>
    <row r="7" spans="2:2" x14ac:dyDescent="0.25">
      <c r="B7" t="s">
        <v>53</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102">
        <f>(AP25/E31) /Projections!B322</f>
        <v>71.428571428571431</v>
      </c>
      <c r="C17" s="103"/>
      <c r="D17" s="104"/>
      <c r="E17" s="98">
        <f>B17*2</f>
        <v>142.85714285714286</v>
      </c>
      <c r="F17" s="103"/>
      <c r="G17" s="98"/>
      <c r="H17" s="98">
        <f>E17*2</f>
        <v>285.71428571428572</v>
      </c>
      <c r="I17" s="103"/>
      <c r="J17" s="104"/>
      <c r="K17" s="95">
        <f>H17*2</f>
        <v>571.42857142857144</v>
      </c>
      <c r="L17" s="93"/>
      <c r="M17" s="94"/>
      <c r="N17" s="95">
        <f>K17*2</f>
        <v>1142.8571428571429</v>
      </c>
      <c r="O17" s="93"/>
      <c r="P17" s="94"/>
      <c r="Q17" s="95">
        <f>N17*2</f>
        <v>2285.7142857142858</v>
      </c>
      <c r="R17" s="93"/>
      <c r="S17" s="94"/>
      <c r="T17" s="95">
        <f>Q17*2</f>
        <v>4571.4285714285716</v>
      </c>
      <c r="U17" s="93"/>
      <c r="V17" s="94"/>
      <c r="W17" s="95">
        <f>T17*2</f>
        <v>9142.8571428571431</v>
      </c>
      <c r="X17" s="93"/>
      <c r="Y17" s="94"/>
      <c r="Z17" s="95">
        <f>W17*2</f>
        <v>18285.714285714286</v>
      </c>
      <c r="AA17" s="93"/>
      <c r="AB17" s="94"/>
      <c r="AC17" s="95">
        <f>Z17*2</f>
        <v>36571.428571428572</v>
      </c>
      <c r="AD17" s="93"/>
      <c r="AE17" s="94"/>
      <c r="AF17" s="95">
        <f>AC17*2</f>
        <v>73142.857142857145</v>
      </c>
      <c r="AG17" s="93"/>
      <c r="AH17" s="94"/>
      <c r="AI17" s="95">
        <f>AF17*2</f>
        <v>146285.71428571429</v>
      </c>
      <c r="AJ17" s="93"/>
      <c r="AK17" s="94"/>
      <c r="AL17" s="95">
        <f>AI17*2</f>
        <v>292571.42857142858</v>
      </c>
      <c r="AM17" s="93"/>
      <c r="AN17" s="94"/>
      <c r="AO17" s="95">
        <f>AL17*2</f>
        <v>585142.85714285716</v>
      </c>
      <c r="AP17" s="98"/>
      <c r="AQ17" t="s">
        <v>91</v>
      </c>
    </row>
    <row r="18" spans="1:43" s="69" customFormat="1" x14ac:dyDescent="0.25">
      <c r="A18" s="69" t="s">
        <v>163</v>
      </c>
      <c r="B18" s="88">
        <f>B17*$E$34</f>
        <v>49.689440993788821</v>
      </c>
      <c r="C18" s="105"/>
      <c r="D18" s="105"/>
      <c r="E18" s="105">
        <f>E17*$E$34</f>
        <v>99.378881987577643</v>
      </c>
      <c r="F18" s="105"/>
      <c r="G18" s="33"/>
      <c r="H18" s="105">
        <f>H17*$E$34</f>
        <v>198.75776397515529</v>
      </c>
      <c r="I18" s="105"/>
      <c r="J18" s="105"/>
      <c r="K18" s="105">
        <f>K17*$E$34</f>
        <v>397.51552795031057</v>
      </c>
      <c r="L18" s="105"/>
      <c r="M18" s="105"/>
      <c r="N18" s="105">
        <f>N17*$E$34</f>
        <v>795.03105590062114</v>
      </c>
      <c r="O18" s="105"/>
      <c r="P18" s="105"/>
      <c r="Q18" s="105">
        <f>Q17*$E$34</f>
        <v>1590.0621118012423</v>
      </c>
      <c r="R18" s="105"/>
      <c r="S18" s="105"/>
      <c r="T18" s="105">
        <f>T17*$E$34</f>
        <v>3180.1242236024846</v>
      </c>
      <c r="U18" s="105"/>
      <c r="V18" s="105"/>
      <c r="W18" s="105">
        <f>W17*$E$34</f>
        <v>6360.2484472049691</v>
      </c>
      <c r="X18" s="105"/>
      <c r="Y18" s="105"/>
      <c r="Z18" s="105">
        <f>Z17*$E$34</f>
        <v>12720.496894409938</v>
      </c>
      <c r="AA18" s="105"/>
      <c r="AB18" s="105"/>
      <c r="AC18" s="105">
        <f>AC17*$E$34</f>
        <v>25440.993788819876</v>
      </c>
      <c r="AD18" s="105"/>
      <c r="AE18" s="105"/>
      <c r="AF18" s="105">
        <f>AF17*$E$34</f>
        <v>50881.987577639753</v>
      </c>
      <c r="AG18" s="105"/>
      <c r="AH18" s="105"/>
      <c r="AI18" s="105">
        <f>AI17*$E$34</f>
        <v>101763.97515527951</v>
      </c>
      <c r="AJ18" s="105"/>
      <c r="AK18" s="105"/>
      <c r="AL18" s="105">
        <f>AL17*$E$34</f>
        <v>203527.95031055901</v>
      </c>
      <c r="AM18" s="105"/>
      <c r="AN18" s="105"/>
      <c r="AO18" s="105">
        <f>AO17*$E$34</f>
        <v>407055.90062111802</v>
      </c>
      <c r="AP18" s="33"/>
      <c r="AQ18" s="69" t="s">
        <v>163</v>
      </c>
    </row>
    <row r="19" spans="1:43" s="69" customFormat="1" x14ac:dyDescent="0.25">
      <c r="A19" s="47" t="s">
        <v>165</v>
      </c>
      <c r="B19" s="86">
        <f>B18</f>
        <v>49.689440993788821</v>
      </c>
      <c r="C19" s="87"/>
      <c r="D19" s="87"/>
      <c r="E19" s="87">
        <f>E18</f>
        <v>99.378881987577643</v>
      </c>
      <c r="F19" s="87"/>
      <c r="G19" s="34"/>
      <c r="H19" s="87">
        <f>H18</f>
        <v>198.75776397515529</v>
      </c>
      <c r="I19" s="87"/>
      <c r="J19" s="87"/>
      <c r="K19" s="87">
        <f>K18</f>
        <v>397.51552795031057</v>
      </c>
      <c r="L19" s="87"/>
      <c r="M19" s="87"/>
      <c r="N19" s="87">
        <f>N18</f>
        <v>795.03105590062114</v>
      </c>
      <c r="O19" s="87"/>
      <c r="P19" s="87"/>
      <c r="Q19" s="87">
        <f>Q18</f>
        <v>1590.0621118012423</v>
      </c>
      <c r="R19" s="87"/>
      <c r="S19" s="87"/>
      <c r="T19" s="87">
        <f>T18</f>
        <v>3180.1242236024846</v>
      </c>
      <c r="U19" s="87"/>
      <c r="V19" s="87"/>
      <c r="W19" s="121">
        <f>W18-B18</f>
        <v>6310.5590062111805</v>
      </c>
      <c r="X19" s="121"/>
      <c r="Y19" s="121"/>
      <c r="Z19" s="121">
        <f>Z18-E18</f>
        <v>12621.118012422361</v>
      </c>
      <c r="AA19" s="121"/>
      <c r="AB19" s="121"/>
      <c r="AC19" s="121">
        <f>AC18-H18</f>
        <v>25242.236024844722</v>
      </c>
      <c r="AD19" s="121"/>
      <c r="AE19" s="121"/>
      <c r="AF19" s="121">
        <f>AF18-K18</f>
        <v>50484.472049689444</v>
      </c>
      <c r="AG19" s="121"/>
      <c r="AH19" s="121"/>
      <c r="AI19" s="121">
        <f>AI18-N18</f>
        <v>100968.94409937889</v>
      </c>
      <c r="AJ19" s="121"/>
      <c r="AK19" s="121"/>
      <c r="AL19" s="121">
        <f>AL18-Q18</f>
        <v>201937.88819875778</v>
      </c>
      <c r="AM19" s="121"/>
      <c r="AN19" s="121"/>
      <c r="AO19" s="121">
        <f>AO18-T18</f>
        <v>403875.77639751555</v>
      </c>
      <c r="AP19" s="122"/>
      <c r="AQ19" s="47" t="s">
        <v>165</v>
      </c>
    </row>
    <row r="20" spans="1:43" s="69" customFormat="1" x14ac:dyDescent="0.25">
      <c r="A20" t="s">
        <v>92</v>
      </c>
      <c r="B20" s="88"/>
      <c r="C20" s="105"/>
      <c r="D20" s="105"/>
      <c r="E20" s="105"/>
      <c r="F20" s="105"/>
      <c r="G20" s="33"/>
      <c r="H20" s="106"/>
      <c r="I20" s="107"/>
      <c r="J20" s="108"/>
      <c r="K20" s="131">
        <f>B17*(1-$E$34)</f>
        <v>21.739130434782609</v>
      </c>
      <c r="L20" s="128"/>
      <c r="M20" s="129"/>
      <c r="N20" s="130">
        <f>E17*(1-$E$34)</f>
        <v>43.478260869565219</v>
      </c>
      <c r="O20" s="128"/>
      <c r="P20" s="129"/>
      <c r="Q20" s="130">
        <f>H17*(1-$E$34)</f>
        <v>86.956521739130437</v>
      </c>
      <c r="R20" s="128"/>
      <c r="S20" s="129"/>
      <c r="T20" s="130">
        <f>K17*(1-$E$34)</f>
        <v>173.91304347826087</v>
      </c>
      <c r="U20" s="128"/>
      <c r="V20" s="129"/>
      <c r="W20" s="130">
        <f>N17*(1-$E$34)</f>
        <v>347.82608695652175</v>
      </c>
      <c r="X20" s="128"/>
      <c r="Y20" s="129"/>
      <c r="Z20" s="130">
        <f>Q17*(1-$E$34)</f>
        <v>695.6521739130435</v>
      </c>
      <c r="AA20" s="128"/>
      <c r="AB20" s="129"/>
      <c r="AC20" s="130">
        <f>T17*(1-$E$34)</f>
        <v>1391.304347826087</v>
      </c>
      <c r="AD20" s="128"/>
      <c r="AE20" s="129"/>
      <c r="AF20" s="130">
        <f>W17*(1-$E$34)</f>
        <v>2782.608695652174</v>
      </c>
      <c r="AG20" s="128"/>
      <c r="AH20" s="129"/>
      <c r="AI20" s="130">
        <f>Z17*(1-$E$34)</f>
        <v>5565.217391304348</v>
      </c>
      <c r="AJ20" s="128"/>
      <c r="AK20" s="129"/>
      <c r="AL20" s="130">
        <f>AC17*(1-$E$34)</f>
        <v>11130.434782608696</v>
      </c>
      <c r="AM20" s="128"/>
      <c r="AN20" s="129"/>
      <c r="AO20" s="130">
        <f>AF17*(1-$E$34)</f>
        <v>22260.869565217392</v>
      </c>
      <c r="AP20" s="79"/>
      <c r="AQ20" t="s">
        <v>92</v>
      </c>
    </row>
    <row r="21" spans="1:43" s="69" customFormat="1" x14ac:dyDescent="0.25">
      <c r="A21" s="69" t="s">
        <v>73</v>
      </c>
      <c r="B21" s="80"/>
      <c r="C21" s="81"/>
      <c r="D21" s="81"/>
      <c r="E21" s="81"/>
      <c r="F21" s="81"/>
      <c r="G21" s="82"/>
      <c r="H21" s="123">
        <f>B17-B18</f>
        <v>21.739130434782609</v>
      </c>
      <c r="I21" s="123"/>
      <c r="J21" s="123"/>
      <c r="K21" s="123">
        <f>E17-E18</f>
        <v>43.478260869565219</v>
      </c>
      <c r="L21" s="123"/>
      <c r="M21" s="123"/>
      <c r="N21" s="123">
        <f>(H17-H18)*$E$35</f>
        <v>70.434782608695656</v>
      </c>
      <c r="O21" s="123"/>
      <c r="P21" s="123"/>
      <c r="Q21" s="123">
        <f>(K17-K18)*$E$35</f>
        <v>140.86956521739131</v>
      </c>
      <c r="R21" s="123"/>
      <c r="S21" s="123"/>
      <c r="T21" s="123">
        <f>(N17-N18)*$E$35</f>
        <v>281.73913043478262</v>
      </c>
      <c r="U21" s="123"/>
      <c r="V21" s="123"/>
      <c r="W21" s="123">
        <f>((Q17-Q18)*$E$35)-(H21*$E$35)</f>
        <v>545.86956521739137</v>
      </c>
      <c r="X21" s="123"/>
      <c r="Y21" s="123"/>
      <c r="Z21" s="123">
        <f>((T17-T18)*$E$35)-(K21*$E$35)</f>
        <v>1091.7391304347827</v>
      </c>
      <c r="AA21" s="123"/>
      <c r="AB21" s="123"/>
      <c r="AC21" s="123">
        <f>((W17-W18)*$E$35)-N21</f>
        <v>2183.4782608695655</v>
      </c>
      <c r="AD21" s="123"/>
      <c r="AE21" s="123"/>
      <c r="AF21" s="123">
        <f>((Z17-Z18)*$E$35)-Q21</f>
        <v>4366.9565217391309</v>
      </c>
      <c r="AG21" s="123"/>
      <c r="AH21" s="123"/>
      <c r="AI21" s="123">
        <f>((AC17-AC18)*$E$35)-T21</f>
        <v>8733.9130434782619</v>
      </c>
      <c r="AJ21" s="123"/>
      <c r="AK21" s="123"/>
      <c r="AL21" s="123">
        <f>((AF17-AF18)*$E$35)-W21</f>
        <v>17485.434782608696</v>
      </c>
      <c r="AM21" s="123"/>
      <c r="AN21" s="123"/>
      <c r="AO21" s="123">
        <f>((AI17-AI18)*$E$35)-Z21</f>
        <v>34970.869565217392</v>
      </c>
      <c r="AP21" s="124"/>
      <c r="AQ21" s="69" t="s">
        <v>73</v>
      </c>
    </row>
    <row r="22" spans="1:43" s="69" customFormat="1" x14ac:dyDescent="0.25">
      <c r="A22" s="69" t="s">
        <v>74</v>
      </c>
      <c r="B22" s="80"/>
      <c r="C22" s="81"/>
      <c r="D22" s="81"/>
      <c r="E22" s="81"/>
      <c r="F22" s="81"/>
      <c r="G22" s="82"/>
      <c r="H22" s="107"/>
      <c r="I22" s="107"/>
      <c r="J22" s="107"/>
      <c r="K22" s="107"/>
      <c r="L22" s="107"/>
      <c r="M22" s="108"/>
      <c r="N22" s="125">
        <f>(H17-H18)*($E$36+$E$37)</f>
        <v>16.521739130434785</v>
      </c>
      <c r="O22" s="125"/>
      <c r="P22" s="125"/>
      <c r="Q22" s="125">
        <f>(K17-K18)*($E$36+$E$37)</f>
        <v>33.04347826086957</v>
      </c>
      <c r="R22" s="125"/>
      <c r="S22" s="125"/>
      <c r="T22" s="125">
        <f>(N17-N18)*$E$36</f>
        <v>48.695652173913047</v>
      </c>
      <c r="U22" s="125"/>
      <c r="V22" s="125"/>
      <c r="W22" s="125">
        <f>(Q17-Q18)*$E$36</f>
        <v>97.391304347826093</v>
      </c>
      <c r="X22" s="125"/>
      <c r="Y22" s="125"/>
      <c r="Z22" s="125">
        <f>(T17-T18)*$E$36</f>
        <v>194.78260869565219</v>
      </c>
      <c r="AA22" s="125"/>
      <c r="AB22" s="125"/>
      <c r="AC22" s="125">
        <f>(W17-W18)*$E$36</f>
        <v>389.56521739130437</v>
      </c>
      <c r="AD22" s="125"/>
      <c r="AE22" s="125"/>
      <c r="AF22" s="125">
        <f>(Z17-Z18)*$E$36</f>
        <v>779.13043478260875</v>
      </c>
      <c r="AG22" s="125"/>
      <c r="AH22" s="125"/>
      <c r="AI22" s="125">
        <f>(AC17-AC18)*$E$36</f>
        <v>1558.2608695652175</v>
      </c>
      <c r="AJ22" s="125"/>
      <c r="AK22" s="125"/>
      <c r="AL22" s="125">
        <f>(AF17-AF18)*$E$36</f>
        <v>3116.521739130435</v>
      </c>
      <c r="AM22" s="125"/>
      <c r="AN22" s="125"/>
      <c r="AO22" s="125">
        <f>(AI17-AI18)*$E$36</f>
        <v>6233.04347826087</v>
      </c>
      <c r="AP22" s="126"/>
      <c r="AQ22" s="69" t="s">
        <v>74</v>
      </c>
    </row>
    <row r="23" spans="1:43" s="69" customFormat="1" x14ac:dyDescent="0.25">
      <c r="A23" s="47" t="s">
        <v>75</v>
      </c>
      <c r="B23" s="80"/>
      <c r="C23" s="81"/>
      <c r="D23" s="81"/>
      <c r="E23" s="81"/>
      <c r="F23" s="81"/>
      <c r="G23" s="82"/>
      <c r="H23" s="87"/>
      <c r="I23" s="87"/>
      <c r="J23" s="87"/>
      <c r="K23" s="87"/>
      <c r="L23" s="87"/>
      <c r="M23" s="87"/>
      <c r="N23" s="107"/>
      <c r="O23" s="107"/>
      <c r="P23" s="107"/>
      <c r="Q23" s="107"/>
      <c r="R23" s="107"/>
      <c r="S23" s="108"/>
      <c r="T23" s="40">
        <f>(N17-N18)*$E$37</f>
        <v>17.39130434782609</v>
      </c>
      <c r="U23" s="40"/>
      <c r="V23" s="40"/>
      <c r="W23" s="40">
        <f>(Q17-Q18)*$E$37</f>
        <v>34.782608695652179</v>
      </c>
      <c r="X23" s="40"/>
      <c r="Y23" s="40"/>
      <c r="Z23" s="40">
        <f>(T17-T18)*$E$37</f>
        <v>69.565217391304358</v>
      </c>
      <c r="AA23" s="40"/>
      <c r="AB23" s="40"/>
      <c r="AC23" s="40">
        <f>(W17-W18)*$E$37</f>
        <v>139.13043478260872</v>
      </c>
      <c r="AD23" s="40"/>
      <c r="AE23" s="40"/>
      <c r="AF23" s="40">
        <f>(Z17-Z18)*$E$37</f>
        <v>278.26086956521743</v>
      </c>
      <c r="AG23" s="40"/>
      <c r="AH23" s="40"/>
      <c r="AI23" s="40">
        <f>(AC17-AC18)*$E$37</f>
        <v>556.52173913043487</v>
      </c>
      <c r="AJ23" s="40"/>
      <c r="AK23" s="40"/>
      <c r="AL23" s="40">
        <f>(AF17-AF18)*$E$37</f>
        <v>1113.0434782608697</v>
      </c>
      <c r="AM23" s="40"/>
      <c r="AN23" s="40"/>
      <c r="AO23" s="40">
        <f>(AI17-AI18)*$E$37</f>
        <v>2226.0869565217395</v>
      </c>
      <c r="AP23" s="127"/>
      <c r="AQ23" s="47" t="s">
        <v>75</v>
      </c>
    </row>
    <row r="24" spans="1:43" s="69" customFormat="1" x14ac:dyDescent="0.25">
      <c r="A24" s="47" t="s">
        <v>80</v>
      </c>
      <c r="B24" s="86"/>
      <c r="C24" s="87"/>
      <c r="D24" s="87"/>
      <c r="E24" s="87"/>
      <c r="F24" s="87"/>
      <c r="G24" s="34"/>
      <c r="H24" s="87"/>
      <c r="I24" s="87"/>
      <c r="J24" s="87"/>
      <c r="K24" s="87"/>
      <c r="L24" s="87"/>
      <c r="M24" s="87"/>
      <c r="N24" s="87"/>
      <c r="O24" s="87"/>
      <c r="P24" s="87"/>
      <c r="Q24" s="87"/>
      <c r="R24" s="87"/>
      <c r="S24" s="87"/>
      <c r="T24" s="107"/>
      <c r="U24" s="108"/>
      <c r="V24" s="109">
        <f>H21*$E$35</f>
        <v>17.608695652173914</v>
      </c>
      <c r="W24" s="109"/>
      <c r="X24" s="109"/>
      <c r="Y24" s="109">
        <f>K21*$E$35</f>
        <v>35.217391304347828</v>
      </c>
      <c r="Z24" s="109"/>
      <c r="AA24" s="109"/>
      <c r="AB24" s="109">
        <f>N21</f>
        <v>70.434782608695656</v>
      </c>
      <c r="AC24" s="109"/>
      <c r="AD24" s="109"/>
      <c r="AE24" s="109">
        <f>Q21</f>
        <v>140.86956521739131</v>
      </c>
      <c r="AF24" s="109"/>
      <c r="AG24" s="109"/>
      <c r="AH24" s="109">
        <f>T21</f>
        <v>281.73913043478262</v>
      </c>
      <c r="AI24" s="109"/>
      <c r="AJ24" s="109"/>
      <c r="AK24" s="109">
        <f>W21</f>
        <v>545.86956521739137</v>
      </c>
      <c r="AL24" s="109"/>
      <c r="AM24" s="109"/>
      <c r="AN24" s="109">
        <f>Z21</f>
        <v>1091.7391304347827</v>
      </c>
      <c r="AO24" s="109"/>
      <c r="AP24" s="110"/>
      <c r="AQ24" s="47" t="s">
        <v>80</v>
      </c>
    </row>
    <row r="25" spans="1:43" x14ac:dyDescent="0.25">
      <c r="A25" s="47" t="s">
        <v>69</v>
      </c>
      <c r="B25" s="99"/>
      <c r="C25" s="100"/>
      <c r="D25" s="100"/>
      <c r="E25" s="100"/>
      <c r="F25" s="100"/>
      <c r="G25" s="101"/>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132">
        <f>E32</f>
        <v>1</v>
      </c>
      <c r="AQ25" s="47" t="s">
        <v>69</v>
      </c>
    </row>
    <row r="26" spans="1:43" x14ac:dyDescent="0.25">
      <c r="A26" s="133" t="s">
        <v>96</v>
      </c>
      <c r="B26" s="89">
        <f t="shared" ref="B26:G26" ca="1" si="0">C26-1</f>
        <v>43976.887101388886</v>
      </c>
      <c r="C26" s="90">
        <f t="shared" ca="1" si="0"/>
        <v>43977.887101388886</v>
      </c>
      <c r="D26" s="90">
        <f t="shared" ca="1" si="0"/>
        <v>43978.887101388886</v>
      </c>
      <c r="E26" s="90">
        <f t="shared" ca="1" si="0"/>
        <v>43979.887101388886</v>
      </c>
      <c r="F26" s="90">
        <f t="shared" ca="1" si="0"/>
        <v>43980.887101388886</v>
      </c>
      <c r="G26" s="91">
        <f t="shared" ca="1" si="0"/>
        <v>43981.887101388886</v>
      </c>
      <c r="H26" s="90">
        <f t="shared" ref="H26:U26" ca="1" si="1">I26-1</f>
        <v>43982.887101388886</v>
      </c>
      <c r="I26" s="90">
        <f t="shared" ca="1" si="1"/>
        <v>43983.887101388886</v>
      </c>
      <c r="J26" s="90">
        <f t="shared" ca="1" si="1"/>
        <v>43984.887101388886</v>
      </c>
      <c r="K26" s="90">
        <f t="shared" ca="1" si="1"/>
        <v>43985.887101388886</v>
      </c>
      <c r="L26" s="90">
        <f t="shared" ca="1" si="1"/>
        <v>43986.887101388886</v>
      </c>
      <c r="M26" s="90">
        <f t="shared" ca="1" si="1"/>
        <v>43987.887101388886</v>
      </c>
      <c r="N26" s="91">
        <f t="shared" ca="1" si="1"/>
        <v>43988.887101388886</v>
      </c>
      <c r="O26" s="89">
        <f t="shared" ca="1" si="1"/>
        <v>43989.887101388886</v>
      </c>
      <c r="P26" s="90">
        <f t="shared" ca="1" si="1"/>
        <v>43990.887101388886</v>
      </c>
      <c r="Q26" s="90">
        <f t="shared" ca="1" si="1"/>
        <v>43991.887101388886</v>
      </c>
      <c r="R26" s="90">
        <f t="shared" ca="1" si="1"/>
        <v>43992.887101388886</v>
      </c>
      <c r="S26" s="90">
        <f t="shared" ca="1" si="1"/>
        <v>43993.887101388886</v>
      </c>
      <c r="T26" s="90">
        <f t="shared" ca="1" si="1"/>
        <v>43994.887101388886</v>
      </c>
      <c r="U26" s="91">
        <f t="shared" ca="1" si="1"/>
        <v>43995.887101388886</v>
      </c>
      <c r="V26" s="89">
        <f t="shared" ref="V26:AN26" ca="1" si="2">W26-1</f>
        <v>43996.887101388886</v>
      </c>
      <c r="W26" s="90">
        <f t="shared" ca="1" si="2"/>
        <v>43997.887101388886</v>
      </c>
      <c r="X26" s="90">
        <f t="shared" ca="1" si="2"/>
        <v>43998.887101388886</v>
      </c>
      <c r="Y26" s="90">
        <f t="shared" ca="1" si="2"/>
        <v>43999.887101388886</v>
      </c>
      <c r="Z26" s="90">
        <f t="shared" ca="1" si="2"/>
        <v>44000.887101388886</v>
      </c>
      <c r="AA26" s="90">
        <f t="shared" ca="1" si="2"/>
        <v>44001.887101388886</v>
      </c>
      <c r="AB26" s="91">
        <f t="shared" ca="1" si="2"/>
        <v>44002.887101388886</v>
      </c>
      <c r="AC26" s="89">
        <f t="shared" ca="1" si="2"/>
        <v>44003.887101388886</v>
      </c>
      <c r="AD26" s="90">
        <f t="shared" ca="1" si="2"/>
        <v>44004.887101388886</v>
      </c>
      <c r="AE26" s="90">
        <f t="shared" ca="1" si="2"/>
        <v>44005.887101388886</v>
      </c>
      <c r="AF26" s="90">
        <f t="shared" ca="1" si="2"/>
        <v>44006.887101388886</v>
      </c>
      <c r="AG26" s="90">
        <f t="shared" ca="1" si="2"/>
        <v>44007.887101388886</v>
      </c>
      <c r="AH26" s="90">
        <f t="shared" ca="1" si="2"/>
        <v>44008.887101388886</v>
      </c>
      <c r="AI26" s="91">
        <f t="shared" ca="1" si="2"/>
        <v>44009.887101388886</v>
      </c>
      <c r="AJ26" s="89">
        <f t="shared" ca="1" si="2"/>
        <v>44010.887101388886</v>
      </c>
      <c r="AK26" s="90">
        <f t="shared" ca="1" si="2"/>
        <v>44011.887101388886</v>
      </c>
      <c r="AL26" s="90">
        <f t="shared" ca="1" si="2"/>
        <v>44012.887101388886</v>
      </c>
      <c r="AM26" s="90">
        <f t="shared" ca="1" si="2"/>
        <v>44013.887101388886</v>
      </c>
      <c r="AN26" s="90">
        <f t="shared" ca="1" si="2"/>
        <v>44014.887101388886</v>
      </c>
      <c r="AO26" s="90">
        <f ca="1">AP26-1</f>
        <v>44015.887101388886</v>
      </c>
      <c r="AP26" s="111">
        <f ca="1">NOW()</f>
        <v>44016.887101388886</v>
      </c>
    </row>
    <row r="27" spans="1:43" x14ac:dyDescent="0.25">
      <c r="A27" s="134" t="s">
        <v>97</v>
      </c>
      <c r="B27" s="117">
        <v>1</v>
      </c>
      <c r="C27" s="118">
        <v>2</v>
      </c>
      <c r="D27" s="117">
        <v>3</v>
      </c>
      <c r="E27" s="118">
        <v>4</v>
      </c>
      <c r="F27" s="117">
        <v>5</v>
      </c>
      <c r="G27" s="119">
        <v>6</v>
      </c>
      <c r="H27" s="118">
        <v>7</v>
      </c>
      <c r="I27" s="118">
        <v>8</v>
      </c>
      <c r="J27" s="118">
        <v>9</v>
      </c>
      <c r="K27" s="118">
        <v>10</v>
      </c>
      <c r="L27" s="118">
        <v>11</v>
      </c>
      <c r="M27" s="118">
        <v>12</v>
      </c>
      <c r="N27" s="119">
        <v>13</v>
      </c>
      <c r="O27" s="117">
        <v>14</v>
      </c>
      <c r="P27" s="118">
        <v>15</v>
      </c>
      <c r="Q27" s="118">
        <v>16</v>
      </c>
      <c r="R27" s="118">
        <v>17</v>
      </c>
      <c r="S27" s="118">
        <v>18</v>
      </c>
      <c r="T27" s="118">
        <v>19</v>
      </c>
      <c r="U27" s="119">
        <v>20</v>
      </c>
      <c r="V27" s="117">
        <v>21</v>
      </c>
      <c r="W27" s="118">
        <v>22</v>
      </c>
      <c r="X27" s="118">
        <v>23</v>
      </c>
      <c r="Y27" s="118">
        <v>24</v>
      </c>
      <c r="Z27" s="118">
        <v>25</v>
      </c>
      <c r="AA27" s="118">
        <v>26</v>
      </c>
      <c r="AB27" s="119">
        <v>27</v>
      </c>
      <c r="AC27" s="117">
        <v>28</v>
      </c>
      <c r="AD27" s="118">
        <v>29</v>
      </c>
      <c r="AE27" s="118">
        <v>30</v>
      </c>
      <c r="AF27" s="118">
        <v>31</v>
      </c>
      <c r="AG27" s="118">
        <v>32</v>
      </c>
      <c r="AH27" s="118">
        <v>33</v>
      </c>
      <c r="AI27" s="119">
        <v>34</v>
      </c>
      <c r="AJ27" s="117">
        <v>35</v>
      </c>
      <c r="AK27" s="118">
        <v>36</v>
      </c>
      <c r="AL27" s="118">
        <v>37</v>
      </c>
      <c r="AM27" s="118">
        <v>38</v>
      </c>
      <c r="AN27" s="118">
        <v>39</v>
      </c>
      <c r="AO27" s="118">
        <v>40</v>
      </c>
      <c r="AP27" s="119">
        <v>41</v>
      </c>
    </row>
    <row r="28" spans="1:43" x14ac:dyDescent="0.25">
      <c r="A28" s="135" t="s">
        <v>98</v>
      </c>
      <c r="B28" s="355" t="s">
        <v>67</v>
      </c>
      <c r="C28" s="356"/>
      <c r="D28" s="356"/>
      <c r="E28" s="356"/>
      <c r="F28" s="356"/>
      <c r="G28" s="357"/>
      <c r="H28" s="361" t="s">
        <v>57</v>
      </c>
      <c r="I28" s="361"/>
      <c r="J28" s="361"/>
      <c r="K28" s="361"/>
      <c r="L28" s="361"/>
      <c r="M28" s="361"/>
      <c r="N28" s="362"/>
      <c r="O28" s="360" t="s">
        <v>58</v>
      </c>
      <c r="P28" s="361"/>
      <c r="Q28" s="361"/>
      <c r="R28" s="361"/>
      <c r="S28" s="361"/>
      <c r="T28" s="361"/>
      <c r="U28" s="362"/>
      <c r="V28" s="360" t="s">
        <v>59</v>
      </c>
      <c r="W28" s="361"/>
      <c r="X28" s="361"/>
      <c r="Y28" s="361"/>
      <c r="Z28" s="361"/>
      <c r="AA28" s="361"/>
      <c r="AB28" s="362"/>
      <c r="AC28" s="360" t="s">
        <v>60</v>
      </c>
      <c r="AD28" s="361"/>
      <c r="AE28" s="361"/>
      <c r="AF28" s="361"/>
      <c r="AG28" s="361"/>
      <c r="AH28" s="361"/>
      <c r="AI28" s="362"/>
      <c r="AJ28" s="360" t="s">
        <v>61</v>
      </c>
      <c r="AK28" s="361"/>
      <c r="AL28" s="361"/>
      <c r="AM28" s="361"/>
      <c r="AN28" s="361"/>
      <c r="AO28" s="361"/>
      <c r="AP28" s="362"/>
    </row>
    <row r="29" spans="1:43" x14ac:dyDescent="0.25">
      <c r="B29" s="51" t="s">
        <v>79</v>
      </c>
      <c r="C29" s="96"/>
      <c r="D29" s="96"/>
      <c r="E29" s="96"/>
      <c r="F29" s="96"/>
      <c r="G29" s="97"/>
      <c r="H29" s="358" t="s">
        <v>66</v>
      </c>
      <c r="I29" s="358"/>
      <c r="J29" s="358"/>
      <c r="K29" s="358"/>
      <c r="L29" s="358"/>
      <c r="M29" s="358"/>
      <c r="N29" s="358"/>
      <c r="O29" s="358"/>
      <c r="P29" s="358"/>
      <c r="Q29" s="358"/>
      <c r="R29" s="358"/>
      <c r="S29" s="358"/>
      <c r="T29" s="358"/>
      <c r="U29" s="358"/>
      <c r="V29" s="358"/>
      <c r="W29" s="358"/>
      <c r="X29" s="358"/>
      <c r="Y29" s="358"/>
      <c r="Z29" s="358"/>
      <c r="AA29" s="358"/>
      <c r="AB29" s="358"/>
      <c r="AC29" s="358"/>
      <c r="AD29" s="358"/>
      <c r="AE29" s="358"/>
      <c r="AF29" s="358"/>
      <c r="AG29" s="358"/>
      <c r="AH29" s="358"/>
      <c r="AI29" s="358"/>
      <c r="AJ29" s="358"/>
      <c r="AK29" s="358"/>
      <c r="AL29" s="358"/>
      <c r="AM29" s="358"/>
      <c r="AN29" s="358"/>
      <c r="AO29" s="358"/>
      <c r="AP29" s="359"/>
    </row>
    <row r="31" spans="1:43" x14ac:dyDescent="0.25">
      <c r="B31" s="57" t="s">
        <v>68</v>
      </c>
      <c r="C31" s="138" t="s">
        <v>189</v>
      </c>
      <c r="D31" s="9"/>
      <c r="E31" s="85">
        <f>VLOOKUP(C31,B43:C54,2,FALSE)</f>
        <v>4.5999999999999999E-2</v>
      </c>
      <c r="F31" s="9"/>
      <c r="G31" s="9"/>
      <c r="H31" s="9"/>
      <c r="I31" s="5"/>
    </row>
    <row r="32" spans="1:43" x14ac:dyDescent="0.25">
      <c r="B32" s="41" t="s">
        <v>95</v>
      </c>
      <c r="C32" s="16"/>
      <c r="D32" s="16"/>
      <c r="E32" s="139">
        <v>1</v>
      </c>
      <c r="F32" s="16"/>
      <c r="G32" s="16"/>
      <c r="H32" s="16"/>
      <c r="I32" s="17"/>
    </row>
    <row r="33" spans="2:9" x14ac:dyDescent="0.25">
      <c r="B33" s="41" t="s">
        <v>70</v>
      </c>
      <c r="C33" s="16"/>
      <c r="D33" s="16"/>
      <c r="E33" s="16">
        <v>3</v>
      </c>
      <c r="F33" s="16" t="s">
        <v>71</v>
      </c>
      <c r="G33" s="16"/>
      <c r="H33" s="16"/>
      <c r="I33" s="17"/>
    </row>
    <row r="34" spans="2:9" x14ac:dyDescent="0.25">
      <c r="B34" s="41" t="s">
        <v>184</v>
      </c>
      <c r="C34" s="16"/>
      <c r="D34" s="16"/>
      <c r="E34" s="140">
        <f>1-Projections!B322</f>
        <v>0.69565217391304346</v>
      </c>
      <c r="F34" s="16" t="s">
        <v>186</v>
      </c>
      <c r="G34" s="16"/>
      <c r="H34" s="16"/>
      <c r="I34" s="17"/>
    </row>
    <row r="35" spans="2:9" x14ac:dyDescent="0.25">
      <c r="B35" s="41" t="s">
        <v>76</v>
      </c>
      <c r="C35" s="16"/>
      <c r="D35" s="16"/>
      <c r="E35" s="140">
        <v>0.81</v>
      </c>
      <c r="F35" s="16" t="s">
        <v>94</v>
      </c>
      <c r="G35" s="16"/>
      <c r="H35" s="16"/>
      <c r="I35" s="17"/>
    </row>
    <row r="36" spans="2:9" x14ac:dyDescent="0.25">
      <c r="B36" s="41" t="s">
        <v>77</v>
      </c>
      <c r="C36" s="16"/>
      <c r="D36" s="16"/>
      <c r="E36" s="140">
        <v>0.14000000000000001</v>
      </c>
      <c r="F36" s="16" t="s">
        <v>94</v>
      </c>
      <c r="G36" s="16"/>
      <c r="H36" s="16"/>
      <c r="I36" s="17"/>
    </row>
    <row r="37" spans="2:9" x14ac:dyDescent="0.25">
      <c r="B37" s="41" t="s">
        <v>78</v>
      </c>
      <c r="C37" s="16"/>
      <c r="D37" s="16"/>
      <c r="E37" s="140">
        <v>0.05</v>
      </c>
      <c r="F37" s="16" t="s">
        <v>94</v>
      </c>
      <c r="G37" s="16"/>
      <c r="H37" s="16"/>
      <c r="I37" s="17"/>
    </row>
    <row r="38" spans="2:9" x14ac:dyDescent="0.25">
      <c r="B38" s="41" t="s">
        <v>81</v>
      </c>
      <c r="C38" s="16"/>
      <c r="D38" s="16"/>
      <c r="E38" s="136">
        <v>2</v>
      </c>
      <c r="F38" s="16" t="s">
        <v>82</v>
      </c>
      <c r="G38" s="16"/>
      <c r="H38" s="16"/>
      <c r="I38" s="17"/>
    </row>
    <row r="39" spans="2:9" x14ac:dyDescent="0.25">
      <c r="B39" s="37" t="s">
        <v>83</v>
      </c>
      <c r="C39" s="137"/>
      <c r="D39" s="39"/>
      <c r="E39" s="116">
        <v>4</v>
      </c>
      <c r="F39" s="39" t="s">
        <v>82</v>
      </c>
      <c r="G39" s="39" t="s">
        <v>84</v>
      </c>
      <c r="H39" s="39"/>
      <c r="I39" s="63"/>
    </row>
    <row r="42" spans="2:9" x14ac:dyDescent="0.25">
      <c r="B42" t="s">
        <v>90</v>
      </c>
    </row>
    <row r="43" spans="2:9" x14ac:dyDescent="0.25">
      <c r="B43" s="4" t="s">
        <v>89</v>
      </c>
      <c r="C43" s="115">
        <v>3.5000000000000003E-2</v>
      </c>
    </row>
    <row r="44" spans="2:9" x14ac:dyDescent="0.25">
      <c r="B44" s="41" t="s">
        <v>88</v>
      </c>
      <c r="C44" s="27">
        <v>2.3E-2</v>
      </c>
    </row>
    <row r="45" spans="2:9" x14ac:dyDescent="0.25">
      <c r="B45" s="41" t="s">
        <v>189</v>
      </c>
      <c r="C45" s="27">
        <f>Projections!B330</f>
        <v>4.5999999999999999E-2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20"/>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BO403"/>
  <sheetViews>
    <sheetView tabSelected="1" topLeftCell="S302" zoomScale="85" zoomScaleNormal="85" workbookViewId="0">
      <selection activeCell="AP322" sqref="AP322"/>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5" width="11.28515625" customWidth="1"/>
    <col min="16" max="16" width="10.7109375" customWidth="1"/>
    <col min="17" max="17" width="10.85546875" bestFit="1" customWidth="1"/>
    <col min="18" max="18" width="10.7109375" bestFit="1" customWidth="1"/>
    <col min="19" max="20" width="10.85546875" bestFit="1" customWidth="1"/>
    <col min="21" max="21" width="10.5703125" customWidth="1"/>
    <col min="22" max="22" width="11.28515625" bestFit="1" customWidth="1"/>
    <col min="23" max="23" width="11" customWidth="1"/>
    <col min="24" max="24" width="10.7109375" customWidth="1"/>
    <col min="25" max="26" width="10.85546875" bestFit="1" customWidth="1"/>
    <col min="27" max="27" width="10.85546875" customWidth="1"/>
    <col min="28" max="29" width="10.85546875" bestFit="1" customWidth="1"/>
    <col min="30" max="33" width="11.28515625" customWidth="1"/>
    <col min="34" max="34" width="10.7109375" bestFit="1" customWidth="1"/>
    <col min="35" max="37" width="10.7109375" customWidth="1"/>
    <col min="38" max="38" width="10.7109375" bestFit="1" customWidth="1"/>
    <col min="39" max="39" width="11.5703125" customWidth="1"/>
    <col min="40" max="42" width="10.7109375" customWidth="1"/>
    <col min="43" max="43" width="11.7109375" bestFit="1" customWidth="1"/>
    <col min="44" max="47" width="11.7109375" customWidth="1"/>
    <col min="48" max="52" width="11.5703125" customWidth="1"/>
    <col min="53" max="57" width="11.7109375" customWidth="1"/>
    <col min="58" max="58" width="13.7109375" customWidth="1"/>
    <col min="59" max="60" width="11.5703125" bestFit="1" customWidth="1"/>
    <col min="61" max="62" width="13.28515625" bestFit="1" customWidth="1"/>
    <col min="63" max="63" width="13.7109375" customWidth="1"/>
    <col min="64" max="64" width="11.5703125" style="69" bestFit="1" customWidth="1"/>
    <col min="65" max="65" width="11.140625" bestFit="1" customWidth="1"/>
    <col min="66" max="66" width="12.140625" bestFit="1" customWidth="1"/>
  </cols>
  <sheetData>
    <row r="1" spans="3:34" x14ac:dyDescent="0.25">
      <c r="C1" t="s">
        <v>356</v>
      </c>
      <c r="D1" t="s">
        <v>121</v>
      </c>
      <c r="E1" t="s">
        <v>357</v>
      </c>
    </row>
    <row r="2" spans="3:34" x14ac:dyDescent="0.25">
      <c r="C2" t="s">
        <v>353</v>
      </c>
      <c r="D2" t="s">
        <v>353</v>
      </c>
      <c r="E2" s="264">
        <v>2017</v>
      </c>
      <c r="F2" t="s">
        <v>274</v>
      </c>
    </row>
    <row r="3" spans="3:34" x14ac:dyDescent="0.25">
      <c r="C3" t="s">
        <v>353</v>
      </c>
      <c r="D3" t="s">
        <v>353</v>
      </c>
      <c r="E3" s="331">
        <v>42917</v>
      </c>
      <c r="F3" t="s">
        <v>556</v>
      </c>
    </row>
    <row r="4" spans="3:34" x14ac:dyDescent="0.25">
      <c r="C4" t="s">
        <v>353</v>
      </c>
      <c r="D4" t="s">
        <v>353</v>
      </c>
      <c r="E4" s="282">
        <v>43132</v>
      </c>
      <c r="F4" t="s">
        <v>554</v>
      </c>
    </row>
    <row r="5" spans="3:34" x14ac:dyDescent="0.25">
      <c r="C5" t="s">
        <v>353</v>
      </c>
      <c r="D5" t="s">
        <v>353</v>
      </c>
      <c r="E5" s="331">
        <v>43160</v>
      </c>
      <c r="F5" t="s">
        <v>555</v>
      </c>
    </row>
    <row r="6" spans="3:34" x14ac:dyDescent="0.25">
      <c r="C6" t="s">
        <v>353</v>
      </c>
      <c r="D6" t="s">
        <v>353</v>
      </c>
      <c r="E6" s="264">
        <v>2018</v>
      </c>
      <c r="F6" t="s">
        <v>273</v>
      </c>
    </row>
    <row r="7" spans="3:34" x14ac:dyDescent="0.25">
      <c r="C7" t="s">
        <v>353</v>
      </c>
      <c r="D7" t="s">
        <v>353</v>
      </c>
      <c r="E7" s="282">
        <v>43647</v>
      </c>
      <c r="F7" t="s">
        <v>385</v>
      </c>
    </row>
    <row r="8" spans="3:34" x14ac:dyDescent="0.25">
      <c r="C8" t="s">
        <v>353</v>
      </c>
      <c r="D8" t="s">
        <v>353</v>
      </c>
      <c r="E8" s="214">
        <v>44177</v>
      </c>
      <c r="F8" t="s">
        <v>511</v>
      </c>
    </row>
    <row r="9" spans="3:34" x14ac:dyDescent="0.25">
      <c r="C9" t="s">
        <v>353</v>
      </c>
      <c r="D9" t="s">
        <v>353</v>
      </c>
      <c r="E9" s="214">
        <v>43829</v>
      </c>
      <c r="F9" t="s">
        <v>259</v>
      </c>
    </row>
    <row r="10" spans="3:34" x14ac:dyDescent="0.25">
      <c r="C10" t="s">
        <v>353</v>
      </c>
      <c r="D10" t="s">
        <v>353</v>
      </c>
      <c r="E10" s="214">
        <v>43830</v>
      </c>
      <c r="F10" t="s">
        <v>262</v>
      </c>
    </row>
    <row r="11" spans="3:34" x14ac:dyDescent="0.25">
      <c r="D11" t="s">
        <v>353</v>
      </c>
      <c r="E11" t="s">
        <v>353</v>
      </c>
      <c r="F11" s="214">
        <v>43833</v>
      </c>
      <c r="G11" t="s">
        <v>258</v>
      </c>
    </row>
    <row r="12" spans="3:34" x14ac:dyDescent="0.25">
      <c r="D12" t="s">
        <v>353</v>
      </c>
      <c r="E12" t="s">
        <v>353</v>
      </c>
      <c r="F12" s="260">
        <v>43835</v>
      </c>
      <c r="G12" s="69" t="s">
        <v>255</v>
      </c>
      <c r="H12" s="69"/>
      <c r="I12" s="69"/>
      <c r="J12" s="69"/>
      <c r="K12" s="69"/>
      <c r="L12" s="69"/>
      <c r="M12" s="69"/>
      <c r="N12" s="165"/>
      <c r="P12" s="214"/>
    </row>
    <row r="13" spans="3:34" x14ac:dyDescent="0.25">
      <c r="D13" t="s">
        <v>353</v>
      </c>
      <c r="E13" t="s">
        <v>353</v>
      </c>
      <c r="F13" s="158">
        <v>43836</v>
      </c>
      <c r="G13" s="159" t="s">
        <v>191</v>
      </c>
      <c r="H13" s="159"/>
      <c r="I13" s="159"/>
      <c r="J13" s="159"/>
      <c r="K13" s="159"/>
      <c r="L13" s="159"/>
      <c r="M13" s="159"/>
      <c r="N13" s="158">
        <v>43850</v>
      </c>
      <c r="P13" s="214"/>
    </row>
    <row r="14" spans="3:34" x14ac:dyDescent="0.25">
      <c r="D14" t="s">
        <v>353</v>
      </c>
      <c r="E14" t="s">
        <v>353</v>
      </c>
      <c r="F14" s="260">
        <v>43837</v>
      </c>
      <c r="G14" s="69" t="s">
        <v>225</v>
      </c>
      <c r="H14" s="69"/>
      <c r="I14" s="69"/>
      <c r="J14" s="69"/>
      <c r="K14" s="69"/>
      <c r="L14" s="69"/>
      <c r="M14" s="69"/>
      <c r="N14" s="165"/>
      <c r="P14" s="214"/>
    </row>
    <row r="15" spans="3:34" x14ac:dyDescent="0.25">
      <c r="D15" t="s">
        <v>353</v>
      </c>
      <c r="E15" t="s">
        <v>353</v>
      </c>
      <c r="F15" s="165">
        <v>43838</v>
      </c>
      <c r="G15" s="69" t="s">
        <v>263</v>
      </c>
      <c r="H15" s="69"/>
      <c r="I15" s="69"/>
      <c r="J15" s="69"/>
      <c r="K15" s="69"/>
      <c r="L15" s="69"/>
      <c r="M15" s="69"/>
      <c r="N15" s="165"/>
      <c r="O15" s="69"/>
      <c r="P15" s="165"/>
      <c r="Q15" s="69"/>
      <c r="R15" s="69"/>
      <c r="S15" s="69"/>
      <c r="T15" s="69"/>
      <c r="V15" s="69"/>
      <c r="W15" s="69"/>
      <c r="X15" s="69"/>
      <c r="Y15" s="69"/>
      <c r="Z15" s="69"/>
      <c r="AA15" s="69"/>
      <c r="AB15" s="69"/>
      <c r="AC15" s="69"/>
      <c r="AD15" s="69"/>
      <c r="AE15" s="69"/>
      <c r="AF15" s="69"/>
      <c r="AG15" s="69"/>
      <c r="AH15" s="69"/>
    </row>
    <row r="16" spans="3:34" x14ac:dyDescent="0.25">
      <c r="D16" t="s">
        <v>353</v>
      </c>
      <c r="E16" t="s">
        <v>353</v>
      </c>
      <c r="F16" s="165">
        <v>43839</v>
      </c>
      <c r="G16" s="69" t="s">
        <v>542</v>
      </c>
      <c r="H16" s="69"/>
      <c r="I16" s="69"/>
      <c r="J16" s="69"/>
      <c r="K16" s="69"/>
      <c r="L16" s="69"/>
      <c r="M16" s="69"/>
      <c r="N16" s="165"/>
      <c r="O16" s="69"/>
      <c r="P16" s="165"/>
      <c r="Q16" s="69"/>
      <c r="R16" s="69"/>
      <c r="S16" s="69"/>
      <c r="T16" s="69"/>
      <c r="V16" s="69"/>
      <c r="W16" s="69"/>
      <c r="X16" s="69"/>
      <c r="Y16" s="69"/>
      <c r="Z16" s="69"/>
      <c r="AA16" s="69"/>
      <c r="AB16" s="69"/>
      <c r="AC16" s="69"/>
      <c r="AD16" s="69"/>
      <c r="AE16" s="69"/>
      <c r="AF16" s="69"/>
      <c r="AG16" s="69"/>
      <c r="AH16" s="69"/>
    </row>
    <row r="17" spans="4:35" x14ac:dyDescent="0.25">
      <c r="D17" t="s">
        <v>353</v>
      </c>
      <c r="E17" t="s">
        <v>353</v>
      </c>
      <c r="F17" s="260">
        <v>43839</v>
      </c>
      <c r="G17" s="69" t="s">
        <v>226</v>
      </c>
      <c r="H17" s="69"/>
      <c r="I17" s="69"/>
      <c r="J17" s="69"/>
      <c r="K17" s="69"/>
      <c r="L17" s="69"/>
      <c r="M17" s="69"/>
      <c r="N17" s="165"/>
      <c r="P17" s="214"/>
    </row>
    <row r="18" spans="4:35" x14ac:dyDescent="0.25">
      <c r="D18" t="s">
        <v>353</v>
      </c>
      <c r="E18" t="s">
        <v>353</v>
      </c>
      <c r="F18" s="260">
        <v>43840</v>
      </c>
      <c r="G18" s="69" t="s">
        <v>296</v>
      </c>
      <c r="H18" s="69"/>
      <c r="I18" s="69"/>
      <c r="J18" s="69"/>
      <c r="K18" s="69"/>
      <c r="L18" s="69"/>
      <c r="M18" s="69"/>
      <c r="N18" s="165"/>
      <c r="P18" s="214"/>
    </row>
    <row r="19" spans="4:35" x14ac:dyDescent="0.25">
      <c r="D19" t="s">
        <v>353</v>
      </c>
      <c r="E19" t="s">
        <v>353</v>
      </c>
      <c r="F19" s="165">
        <v>43841</v>
      </c>
      <c r="G19" s="69" t="s">
        <v>233</v>
      </c>
      <c r="H19" s="69"/>
      <c r="I19" s="69"/>
      <c r="J19" s="69"/>
      <c r="K19" s="69"/>
      <c r="L19" s="69"/>
      <c r="M19" s="69"/>
      <c r="N19" s="165"/>
      <c r="P19" s="214"/>
    </row>
    <row r="20" spans="4:35" x14ac:dyDescent="0.25">
      <c r="D20" t="s">
        <v>353</v>
      </c>
      <c r="E20" t="s">
        <v>353</v>
      </c>
      <c r="F20" s="165">
        <v>43842</v>
      </c>
      <c r="G20" s="69" t="s">
        <v>260</v>
      </c>
      <c r="H20" s="69"/>
      <c r="I20" s="69"/>
      <c r="J20" s="69"/>
      <c r="K20" s="69"/>
      <c r="L20" s="69"/>
      <c r="M20" s="69"/>
      <c r="N20" s="165"/>
      <c r="P20" s="214"/>
    </row>
    <row r="21" spans="4:35" x14ac:dyDescent="0.25">
      <c r="D21" t="s">
        <v>353</v>
      </c>
      <c r="E21" t="s">
        <v>353</v>
      </c>
      <c r="F21" s="260">
        <v>43844</v>
      </c>
      <c r="G21" s="69" t="s">
        <v>543</v>
      </c>
      <c r="H21" s="69"/>
      <c r="I21" s="69"/>
      <c r="J21" s="69"/>
      <c r="K21" s="69"/>
      <c r="L21" s="69"/>
      <c r="M21" s="69"/>
      <c r="N21" s="165"/>
      <c r="P21" s="214"/>
    </row>
    <row r="22" spans="4:35" x14ac:dyDescent="0.25">
      <c r="D22" s="69" t="s">
        <v>353</v>
      </c>
      <c r="E22" s="69" t="s">
        <v>353</v>
      </c>
      <c r="F22" s="165">
        <v>43844</v>
      </c>
      <c r="G22" s="69" t="s">
        <v>546</v>
      </c>
      <c r="H22" s="69"/>
      <c r="I22" s="69"/>
      <c r="J22" s="69"/>
      <c r="K22" s="69"/>
      <c r="L22" s="69"/>
      <c r="M22" s="69"/>
      <c r="N22" s="165"/>
      <c r="P22" s="214"/>
    </row>
    <row r="23" spans="4:35" x14ac:dyDescent="0.25">
      <c r="D23" t="s">
        <v>353</v>
      </c>
      <c r="E23" t="s">
        <v>353</v>
      </c>
      <c r="F23" s="165">
        <v>43845</v>
      </c>
      <c r="G23" s="69" t="s">
        <v>266</v>
      </c>
      <c r="H23" s="69"/>
      <c r="I23" s="69"/>
      <c r="J23" s="69"/>
      <c r="K23" s="69"/>
      <c r="L23" s="69"/>
      <c r="M23" s="69"/>
      <c r="N23" s="165"/>
      <c r="P23" s="214"/>
      <c r="AI23" s="69"/>
    </row>
    <row r="24" spans="4:35" x14ac:dyDescent="0.25">
      <c r="D24" t="s">
        <v>353</v>
      </c>
      <c r="E24" t="s">
        <v>353</v>
      </c>
      <c r="F24" s="165">
        <v>43846</v>
      </c>
      <c r="G24" s="69" t="s">
        <v>192</v>
      </c>
      <c r="H24" s="69"/>
      <c r="I24" s="69"/>
      <c r="J24" s="69"/>
      <c r="K24" s="69"/>
      <c r="L24" s="69"/>
      <c r="M24" s="69"/>
      <c r="N24" s="165"/>
      <c r="P24" s="214"/>
    </row>
    <row r="25" spans="4:35" x14ac:dyDescent="0.25">
      <c r="D25" t="s">
        <v>353</v>
      </c>
      <c r="E25" t="s">
        <v>353</v>
      </c>
      <c r="F25" s="158">
        <v>43847</v>
      </c>
      <c r="G25" s="159" t="s">
        <v>218</v>
      </c>
      <c r="H25" s="159"/>
      <c r="I25" s="159"/>
      <c r="J25" s="159"/>
      <c r="K25" s="159"/>
      <c r="L25" s="159"/>
      <c r="M25" s="159"/>
      <c r="N25" s="158">
        <v>43861</v>
      </c>
      <c r="P25" s="214"/>
    </row>
    <row r="26" spans="4:35" x14ac:dyDescent="0.25">
      <c r="D26" t="s">
        <v>353</v>
      </c>
      <c r="E26" t="s">
        <v>353</v>
      </c>
      <c r="F26" s="259">
        <v>43848</v>
      </c>
      <c r="G26" s="69" t="s">
        <v>202</v>
      </c>
      <c r="H26" s="69"/>
      <c r="I26" s="69"/>
      <c r="J26" s="69"/>
      <c r="K26" s="69"/>
      <c r="L26" s="69"/>
      <c r="M26" s="69"/>
      <c r="N26" s="165"/>
      <c r="O26" s="69"/>
      <c r="P26" s="165"/>
    </row>
    <row r="27" spans="4:35" x14ac:dyDescent="0.25">
      <c r="D27" t="s">
        <v>353</v>
      </c>
      <c r="E27" t="s">
        <v>353</v>
      </c>
      <c r="F27" s="165">
        <v>43850</v>
      </c>
      <c r="G27" s="69" t="s">
        <v>545</v>
      </c>
      <c r="H27" s="69"/>
      <c r="I27" s="69"/>
      <c r="J27" s="69"/>
      <c r="K27" s="69"/>
      <c r="L27" s="69"/>
      <c r="M27" s="69"/>
      <c r="N27" s="165"/>
      <c r="O27" s="69"/>
      <c r="P27" s="165"/>
    </row>
    <row r="28" spans="4:35" x14ac:dyDescent="0.25">
      <c r="D28" s="276">
        <v>1</v>
      </c>
      <c r="E28" t="s">
        <v>353</v>
      </c>
      <c r="F28" s="214">
        <v>43851</v>
      </c>
      <c r="G28" t="s">
        <v>193</v>
      </c>
    </row>
    <row r="29" spans="4:35" x14ac:dyDescent="0.25">
      <c r="D29" s="278">
        <v>1</v>
      </c>
      <c r="E29" t="s">
        <v>353</v>
      </c>
      <c r="F29" s="259">
        <v>43852</v>
      </c>
      <c r="G29" t="s">
        <v>194</v>
      </c>
    </row>
    <row r="30" spans="4:35" x14ac:dyDescent="0.25">
      <c r="D30" s="278">
        <v>1</v>
      </c>
      <c r="E30" t="s">
        <v>353</v>
      </c>
      <c r="F30" s="165">
        <v>43853</v>
      </c>
      <c r="G30" t="s">
        <v>544</v>
      </c>
    </row>
    <row r="31" spans="4:35" x14ac:dyDescent="0.25">
      <c r="D31" s="278">
        <v>1</v>
      </c>
      <c r="E31" t="s">
        <v>353</v>
      </c>
      <c r="F31" s="260">
        <v>43853</v>
      </c>
      <c r="G31" s="69" t="s">
        <v>231</v>
      </c>
      <c r="H31" s="69"/>
      <c r="I31" s="69"/>
      <c r="J31" s="69"/>
      <c r="K31" s="69"/>
      <c r="L31" s="69"/>
      <c r="M31" s="69"/>
      <c r="N31" s="69"/>
      <c r="O31" s="69"/>
      <c r="P31" s="69"/>
      <c r="Q31" s="69"/>
      <c r="R31" s="69"/>
      <c r="S31" s="69"/>
      <c r="T31" s="69"/>
      <c r="V31" s="69"/>
      <c r="W31" s="69"/>
      <c r="X31" s="69"/>
      <c r="Y31" s="69"/>
      <c r="Z31" s="69"/>
      <c r="AA31" s="69"/>
      <c r="AB31" s="69"/>
      <c r="AC31" s="69"/>
      <c r="AD31" s="69"/>
      <c r="AE31" s="69"/>
      <c r="AF31" s="69"/>
      <c r="AG31" s="69"/>
      <c r="AH31" s="69"/>
    </row>
    <row r="32" spans="4:35" x14ac:dyDescent="0.25">
      <c r="D32" s="276">
        <v>2</v>
      </c>
      <c r="E32" s="69" t="s">
        <v>353</v>
      </c>
      <c r="F32" s="259">
        <v>43854</v>
      </c>
      <c r="G32" s="69" t="s">
        <v>227</v>
      </c>
      <c r="H32" s="69"/>
      <c r="I32" s="69"/>
      <c r="J32" s="69"/>
      <c r="K32" s="69"/>
      <c r="L32" s="69"/>
      <c r="M32" s="69"/>
      <c r="N32" s="69"/>
      <c r="O32" s="69"/>
      <c r="P32" s="69"/>
      <c r="Q32" s="69"/>
      <c r="R32" s="69"/>
      <c r="S32" s="69"/>
      <c r="T32" s="69"/>
      <c r="V32" s="69"/>
      <c r="W32" s="69"/>
      <c r="X32" s="69"/>
      <c r="Y32" s="69"/>
      <c r="Z32" s="69"/>
      <c r="AA32" s="69"/>
      <c r="AB32" s="69"/>
      <c r="AC32" s="69"/>
      <c r="AD32" s="69"/>
      <c r="AE32" s="69"/>
      <c r="AF32" s="69"/>
      <c r="AG32" s="69"/>
      <c r="AH32" s="69"/>
    </row>
    <row r="33" spans="4:40" x14ac:dyDescent="0.25">
      <c r="D33" s="276">
        <v>5</v>
      </c>
      <c r="E33" s="69" t="s">
        <v>353</v>
      </c>
      <c r="F33" s="165">
        <v>43857</v>
      </c>
      <c r="G33" s="69" t="s">
        <v>203</v>
      </c>
      <c r="H33" s="69"/>
      <c r="I33" s="69"/>
      <c r="J33" s="69"/>
      <c r="K33" s="69"/>
      <c r="L33" s="69"/>
      <c r="M33" s="69"/>
      <c r="N33" s="69"/>
      <c r="O33" s="69"/>
      <c r="P33" s="69"/>
      <c r="Q33" s="69"/>
      <c r="R33" s="69"/>
      <c r="S33" s="69"/>
      <c r="T33" s="69"/>
      <c r="V33" s="69"/>
      <c r="W33" s="69"/>
      <c r="X33" s="69"/>
      <c r="Y33" s="69"/>
      <c r="Z33" s="69"/>
      <c r="AA33" s="69"/>
      <c r="AB33" s="69"/>
      <c r="AC33" s="69"/>
      <c r="AD33" s="69"/>
      <c r="AE33" s="69"/>
      <c r="AF33" s="69"/>
      <c r="AG33" s="69"/>
      <c r="AH33" s="69"/>
    </row>
    <row r="34" spans="4:40" x14ac:dyDescent="0.25">
      <c r="D34" s="278">
        <v>5</v>
      </c>
      <c r="E34" s="69" t="s">
        <v>353</v>
      </c>
      <c r="F34" s="158">
        <v>43858</v>
      </c>
      <c r="G34" s="159" t="s">
        <v>265</v>
      </c>
      <c r="H34" s="159"/>
      <c r="I34" s="159"/>
      <c r="J34" s="159"/>
      <c r="K34" s="159"/>
      <c r="L34" s="159"/>
      <c r="M34" s="159"/>
      <c r="N34" s="159"/>
      <c r="O34" s="158">
        <v>43873</v>
      </c>
      <c r="P34" s="69"/>
      <c r="Q34" s="69"/>
      <c r="R34" s="69"/>
      <c r="S34" s="69"/>
      <c r="T34" s="69"/>
      <c r="V34" s="69"/>
      <c r="W34" s="69"/>
      <c r="X34" s="69"/>
      <c r="Y34" s="69"/>
      <c r="Z34" s="69"/>
      <c r="AA34" s="69"/>
      <c r="AB34" s="69"/>
      <c r="AC34" s="69"/>
      <c r="AD34" s="69"/>
      <c r="AE34" s="69"/>
      <c r="AF34" s="69"/>
      <c r="AG34" s="69"/>
      <c r="AH34" s="69"/>
    </row>
    <row r="35" spans="4:40" x14ac:dyDescent="0.25">
      <c r="D35" s="278">
        <v>5</v>
      </c>
      <c r="E35" s="69" t="s">
        <v>353</v>
      </c>
      <c r="F35" s="165">
        <v>43859</v>
      </c>
      <c r="G35" s="69" t="s">
        <v>204</v>
      </c>
      <c r="H35" s="69"/>
      <c r="I35" s="69"/>
      <c r="J35" s="69"/>
      <c r="K35" s="69"/>
      <c r="L35" s="69"/>
      <c r="M35" s="69"/>
      <c r="N35" s="69"/>
      <c r="O35" s="69"/>
      <c r="P35" s="69"/>
      <c r="Q35" s="69"/>
      <c r="R35" s="69"/>
      <c r="S35" s="69"/>
      <c r="T35" s="69"/>
      <c r="V35" s="69"/>
      <c r="W35" s="69"/>
      <c r="X35" s="69"/>
      <c r="Y35" s="69"/>
      <c r="Z35" s="69"/>
      <c r="AA35" s="69"/>
      <c r="AB35" s="69"/>
      <c r="AC35" s="69"/>
      <c r="AD35" s="69"/>
      <c r="AE35" s="69"/>
      <c r="AF35" s="69"/>
      <c r="AG35" s="69"/>
      <c r="AH35" s="69"/>
    </row>
    <row r="36" spans="4:40" x14ac:dyDescent="0.25">
      <c r="D36" s="278">
        <v>5</v>
      </c>
      <c r="E36" s="69" t="s">
        <v>353</v>
      </c>
      <c r="F36" s="214">
        <v>43859</v>
      </c>
      <c r="G36" t="s">
        <v>195</v>
      </c>
      <c r="Q36" s="214"/>
    </row>
    <row r="37" spans="4:40" x14ac:dyDescent="0.25">
      <c r="D37" s="278">
        <v>6</v>
      </c>
      <c r="E37" s="69" t="s">
        <v>353</v>
      </c>
      <c r="F37" s="260">
        <v>43860</v>
      </c>
      <c r="G37" t="s">
        <v>234</v>
      </c>
      <c r="AI37" s="69"/>
      <c r="AJ37" s="69"/>
      <c r="AK37" s="69"/>
      <c r="AL37" s="69"/>
      <c r="AM37" s="69"/>
      <c r="AN37" s="69"/>
    </row>
    <row r="38" spans="4:40" x14ac:dyDescent="0.25">
      <c r="D38" s="278">
        <v>6</v>
      </c>
      <c r="E38" s="69" t="s">
        <v>353</v>
      </c>
      <c r="F38" s="259">
        <v>43860</v>
      </c>
      <c r="G38" t="s">
        <v>205</v>
      </c>
      <c r="AI38" s="69"/>
    </row>
    <row r="39" spans="4:40" x14ac:dyDescent="0.25">
      <c r="D39" s="278">
        <v>6</v>
      </c>
      <c r="E39" s="69" t="s">
        <v>353</v>
      </c>
      <c r="F39" s="259">
        <v>43860</v>
      </c>
      <c r="G39" t="s">
        <v>277</v>
      </c>
      <c r="AI39" s="69"/>
    </row>
    <row r="40" spans="4:40" x14ac:dyDescent="0.25">
      <c r="D40" s="278">
        <v>6</v>
      </c>
      <c r="E40" s="69" t="s">
        <v>353</v>
      </c>
      <c r="F40" s="165">
        <v>43860</v>
      </c>
      <c r="G40" s="69" t="s">
        <v>261</v>
      </c>
      <c r="H40" s="69"/>
      <c r="I40" s="69"/>
      <c r="J40" s="69"/>
      <c r="K40" s="69"/>
      <c r="L40" s="69"/>
      <c r="M40" s="69"/>
      <c r="N40" s="69"/>
      <c r="O40" s="69"/>
      <c r="P40" s="69"/>
      <c r="Q40" s="69"/>
      <c r="R40" s="69"/>
      <c r="S40" s="69"/>
      <c r="T40" s="69"/>
      <c r="V40" s="69"/>
      <c r="W40" s="69"/>
      <c r="X40" s="69"/>
      <c r="Y40" s="69"/>
      <c r="Z40" s="69"/>
      <c r="AA40" s="69"/>
      <c r="AB40" s="69"/>
      <c r="AC40" s="69"/>
      <c r="AD40" s="69"/>
      <c r="AE40" s="69"/>
      <c r="AF40" s="69"/>
      <c r="AG40" s="69"/>
      <c r="AH40" s="69"/>
      <c r="AI40" s="69"/>
    </row>
    <row r="41" spans="4:40" x14ac:dyDescent="0.25">
      <c r="D41" s="278">
        <v>6</v>
      </c>
      <c r="E41" s="69" t="s">
        <v>353</v>
      </c>
      <c r="F41" s="165">
        <v>43860</v>
      </c>
      <c r="G41" s="69" t="s">
        <v>354</v>
      </c>
      <c r="H41" s="69"/>
      <c r="I41" s="69"/>
      <c r="J41" s="69"/>
      <c r="K41" s="69"/>
      <c r="L41" s="69"/>
      <c r="M41" s="69"/>
      <c r="N41" s="69"/>
      <c r="O41" s="69"/>
      <c r="P41" s="69"/>
      <c r="Q41" s="69"/>
      <c r="R41" s="69"/>
      <c r="S41" s="69"/>
      <c r="T41" s="69"/>
      <c r="V41" s="69"/>
      <c r="W41" s="69"/>
      <c r="X41" s="69"/>
      <c r="Y41" s="69"/>
      <c r="Z41" s="69"/>
      <c r="AA41" s="69"/>
      <c r="AB41" s="69"/>
      <c r="AC41" s="69"/>
      <c r="AD41" s="69"/>
      <c r="AE41" s="69"/>
      <c r="AF41" s="69"/>
      <c r="AG41" s="69"/>
      <c r="AH41" s="69"/>
      <c r="AI41" s="69"/>
    </row>
    <row r="42" spans="4:40" x14ac:dyDescent="0.25">
      <c r="D42" s="278">
        <v>7</v>
      </c>
      <c r="E42" s="69" t="s">
        <v>353</v>
      </c>
      <c r="F42" s="165">
        <v>43861</v>
      </c>
      <c r="G42" s="69" t="s">
        <v>240</v>
      </c>
      <c r="H42" s="69"/>
      <c r="I42" s="69"/>
      <c r="J42" s="69"/>
      <c r="K42" s="69"/>
      <c r="L42" s="69"/>
      <c r="M42" s="69"/>
      <c r="N42" s="69"/>
      <c r="O42" s="165"/>
      <c r="AI42" s="69"/>
    </row>
    <row r="43" spans="4:40" x14ac:dyDescent="0.25">
      <c r="D43" s="278">
        <v>7</v>
      </c>
      <c r="E43" s="69" t="s">
        <v>353</v>
      </c>
      <c r="F43" s="259">
        <v>43861</v>
      </c>
      <c r="G43" s="69" t="s">
        <v>243</v>
      </c>
      <c r="H43" s="69"/>
      <c r="I43" s="69"/>
      <c r="J43" s="69"/>
      <c r="K43" s="69"/>
      <c r="L43" s="69"/>
      <c r="M43" s="69"/>
      <c r="N43" s="69"/>
      <c r="O43" s="165"/>
    </row>
    <row r="44" spans="4:40" x14ac:dyDescent="0.25">
      <c r="D44" s="278">
        <v>7</v>
      </c>
      <c r="E44" s="69" t="s">
        <v>353</v>
      </c>
      <c r="F44" s="165">
        <v>43861</v>
      </c>
      <c r="G44" s="69" t="s">
        <v>241</v>
      </c>
      <c r="H44" s="69"/>
      <c r="I44" s="69"/>
      <c r="J44" s="69"/>
      <c r="K44" s="69"/>
      <c r="L44" s="69"/>
      <c r="M44" s="69"/>
      <c r="N44" s="69"/>
      <c r="O44" s="165"/>
    </row>
    <row r="45" spans="4:40" x14ac:dyDescent="0.25">
      <c r="G45" s="165" t="s">
        <v>206</v>
      </c>
      <c r="H45" t="s">
        <v>207</v>
      </c>
    </row>
    <row r="46" spans="4:40" x14ac:dyDescent="0.25">
      <c r="E46" s="69"/>
      <c r="G46" s="261" t="s">
        <v>229</v>
      </c>
      <c r="H46" s="69" t="s">
        <v>230</v>
      </c>
      <c r="I46" s="69"/>
      <c r="L46" s="69"/>
      <c r="M46" s="69"/>
      <c r="N46" s="69"/>
      <c r="O46" s="69"/>
      <c r="P46" s="165"/>
      <c r="Q46" s="165"/>
      <c r="R46" s="69"/>
      <c r="S46" s="69"/>
      <c r="T46" s="69"/>
      <c r="U46" s="69"/>
      <c r="V46" s="69"/>
      <c r="W46" s="69"/>
      <c r="X46" s="69"/>
      <c r="Y46" s="69"/>
      <c r="Z46" s="69"/>
      <c r="AA46" s="69"/>
      <c r="AB46" s="69"/>
      <c r="AC46" s="69"/>
      <c r="AD46" s="69"/>
      <c r="AE46" s="69"/>
      <c r="AF46" s="69"/>
      <c r="AG46" s="69"/>
      <c r="AH46" s="69"/>
    </row>
    <row r="47" spans="4:40" x14ac:dyDescent="0.25">
      <c r="F47" s="276">
        <v>8</v>
      </c>
      <c r="G47" t="s">
        <v>353</v>
      </c>
      <c r="H47" s="214">
        <v>43862</v>
      </c>
      <c r="I47" t="s">
        <v>237</v>
      </c>
    </row>
    <row r="48" spans="4:40" x14ac:dyDescent="0.25">
      <c r="F48" s="278">
        <v>11</v>
      </c>
      <c r="G48" s="69" t="s">
        <v>353</v>
      </c>
      <c r="H48" s="158">
        <v>43863</v>
      </c>
      <c r="I48" s="159" t="s">
        <v>197</v>
      </c>
      <c r="J48" s="159"/>
      <c r="K48" s="159"/>
      <c r="L48" s="159"/>
      <c r="M48" s="159"/>
      <c r="N48" s="158"/>
      <c r="O48" s="158">
        <v>43877</v>
      </c>
      <c r="AI48" s="69"/>
    </row>
    <row r="49" spans="5:41" x14ac:dyDescent="0.25">
      <c r="E49" s="69"/>
      <c r="F49" s="278">
        <v>11</v>
      </c>
      <c r="G49" s="69" t="s">
        <v>353</v>
      </c>
      <c r="H49" s="259">
        <v>43863</v>
      </c>
      <c r="I49" s="69" t="s">
        <v>282</v>
      </c>
      <c r="J49" s="69"/>
      <c r="K49" s="69"/>
      <c r="L49" s="69"/>
      <c r="M49" s="69"/>
      <c r="N49" s="165"/>
      <c r="O49" s="165"/>
      <c r="P49" s="69"/>
      <c r="Q49" s="69"/>
      <c r="R49" s="69"/>
      <c r="S49" s="69"/>
      <c r="T49" s="69"/>
      <c r="V49" s="69"/>
      <c r="W49" s="69"/>
      <c r="X49" s="69"/>
      <c r="Y49" s="69"/>
      <c r="Z49" s="69"/>
      <c r="AA49" s="69"/>
      <c r="AB49" s="69"/>
      <c r="AC49" s="69"/>
      <c r="AD49" s="69"/>
      <c r="AE49" s="69"/>
      <c r="AF49" s="69"/>
      <c r="AG49" s="69"/>
      <c r="AH49" s="69"/>
    </row>
    <row r="50" spans="5:41" x14ac:dyDescent="0.25">
      <c r="F50" s="278">
        <v>12</v>
      </c>
      <c r="G50" s="69" t="s">
        <v>353</v>
      </c>
      <c r="H50" s="165">
        <v>43866</v>
      </c>
      <c r="I50" s="69" t="s">
        <v>242</v>
      </c>
      <c r="J50" s="69"/>
      <c r="K50" s="69"/>
      <c r="L50" s="69"/>
      <c r="M50" s="69"/>
      <c r="N50" s="165"/>
      <c r="O50" s="165"/>
      <c r="AJ50" s="69"/>
      <c r="AK50" s="69"/>
      <c r="AL50" s="69"/>
      <c r="AM50" s="69"/>
      <c r="AN50" s="69"/>
      <c r="AO50" s="69"/>
    </row>
    <row r="51" spans="5:41" x14ac:dyDescent="0.25">
      <c r="F51" s="278">
        <v>12</v>
      </c>
      <c r="G51" s="280" t="s">
        <v>355</v>
      </c>
      <c r="H51" s="165">
        <v>43867</v>
      </c>
      <c r="I51" s="16" t="s">
        <v>306</v>
      </c>
      <c r="J51" s="69"/>
      <c r="K51" s="69"/>
      <c r="L51" s="69"/>
      <c r="M51" s="69"/>
      <c r="N51" s="165"/>
      <c r="O51" s="165"/>
      <c r="AJ51" s="69"/>
      <c r="AK51" s="69"/>
      <c r="AL51" s="69"/>
      <c r="AM51" s="69"/>
      <c r="AN51" s="69"/>
    </row>
    <row r="52" spans="5:41" x14ac:dyDescent="0.25">
      <c r="F52" s="278">
        <v>12</v>
      </c>
      <c r="G52" s="280" t="s">
        <v>355</v>
      </c>
      <c r="H52" s="165">
        <v>43868</v>
      </c>
      <c r="I52" s="69" t="s">
        <v>257</v>
      </c>
      <c r="J52" s="69"/>
      <c r="K52" s="69"/>
      <c r="L52" s="69"/>
      <c r="M52" s="69"/>
      <c r="N52" s="165"/>
      <c r="O52" s="165"/>
      <c r="AJ52" s="69"/>
      <c r="AK52" s="69"/>
      <c r="AL52" s="69"/>
      <c r="AM52" s="69"/>
      <c r="AN52" s="69"/>
    </row>
    <row r="53" spans="5:41" x14ac:dyDescent="0.25">
      <c r="F53" s="278">
        <v>12</v>
      </c>
      <c r="G53" s="280" t="s">
        <v>355</v>
      </c>
      <c r="H53" s="259">
        <v>43868</v>
      </c>
      <c r="I53" s="69" t="s">
        <v>400</v>
      </c>
      <c r="J53" s="69"/>
      <c r="K53" s="69"/>
      <c r="L53" s="69"/>
      <c r="M53" s="69"/>
      <c r="N53" s="165"/>
      <c r="O53" s="165"/>
      <c r="AJ53" s="69"/>
      <c r="AK53" s="69"/>
      <c r="AL53" s="69"/>
      <c r="AM53" s="69"/>
      <c r="AN53" s="69"/>
    </row>
    <row r="54" spans="5:41" x14ac:dyDescent="0.25">
      <c r="F54" s="278">
        <v>12</v>
      </c>
      <c r="G54" s="280" t="s">
        <v>355</v>
      </c>
      <c r="H54" s="259">
        <v>43871</v>
      </c>
      <c r="I54" s="69" t="s">
        <v>278</v>
      </c>
      <c r="J54" s="69"/>
      <c r="K54" s="69"/>
      <c r="L54" s="69"/>
      <c r="M54" s="69"/>
      <c r="N54" s="165"/>
      <c r="O54" s="165"/>
      <c r="AJ54" s="69"/>
      <c r="AK54" s="69"/>
      <c r="AL54" s="69"/>
      <c r="AM54" s="69"/>
      <c r="AN54" s="69"/>
    </row>
    <row r="55" spans="5:41" x14ac:dyDescent="0.25">
      <c r="F55" s="278">
        <v>12</v>
      </c>
      <c r="G55" s="280" t="s">
        <v>355</v>
      </c>
      <c r="H55" s="259">
        <v>43871</v>
      </c>
      <c r="I55" s="69" t="s">
        <v>401</v>
      </c>
      <c r="J55" s="69"/>
      <c r="K55" s="69"/>
      <c r="L55" s="69"/>
      <c r="M55" s="69"/>
      <c r="N55" s="165"/>
      <c r="O55" s="165"/>
      <c r="AJ55" s="69"/>
      <c r="AK55" s="69"/>
      <c r="AL55" s="69"/>
      <c r="AM55" s="69"/>
      <c r="AN55" s="69"/>
    </row>
    <row r="56" spans="5:41" x14ac:dyDescent="0.25">
      <c r="F56" s="278">
        <v>12</v>
      </c>
      <c r="G56" s="280" t="s">
        <v>355</v>
      </c>
      <c r="H56" s="259">
        <v>43872</v>
      </c>
      <c r="I56" s="69" t="s">
        <v>272</v>
      </c>
      <c r="J56" s="69"/>
      <c r="K56" s="69"/>
      <c r="L56" s="69"/>
      <c r="M56" s="69"/>
      <c r="N56" s="165"/>
      <c r="O56" s="165"/>
      <c r="AJ56" s="69"/>
      <c r="AK56" s="69"/>
      <c r="AL56" s="69"/>
      <c r="AM56" s="69"/>
      <c r="AN56" s="69"/>
    </row>
    <row r="57" spans="5:41" x14ac:dyDescent="0.25">
      <c r="F57" s="278">
        <v>12</v>
      </c>
      <c r="G57" s="280" t="s">
        <v>355</v>
      </c>
      <c r="H57" s="260">
        <v>43873</v>
      </c>
      <c r="I57" s="69" t="s">
        <v>269</v>
      </c>
      <c r="J57" s="69"/>
      <c r="K57" s="69"/>
      <c r="L57" s="69"/>
      <c r="M57" s="69"/>
      <c r="N57" s="165"/>
      <c r="O57" s="165"/>
      <c r="AI57" s="69"/>
    </row>
    <row r="58" spans="5:41" x14ac:dyDescent="0.25">
      <c r="F58" s="278">
        <v>12</v>
      </c>
      <c r="G58" s="280" t="s">
        <v>355</v>
      </c>
      <c r="H58" s="165">
        <v>43873</v>
      </c>
      <c r="I58" s="69" t="s">
        <v>384</v>
      </c>
      <c r="J58" s="69"/>
      <c r="K58" s="69"/>
      <c r="L58" s="69"/>
      <c r="M58" s="69"/>
      <c r="N58" s="165"/>
      <c r="O58" s="165"/>
      <c r="AI58" s="69"/>
    </row>
    <row r="59" spans="5:41" x14ac:dyDescent="0.25">
      <c r="F59" s="278">
        <v>12</v>
      </c>
      <c r="G59" s="280" t="s">
        <v>355</v>
      </c>
      <c r="H59" s="259">
        <v>43874</v>
      </c>
      <c r="I59" s="69" t="s">
        <v>406</v>
      </c>
      <c r="J59" s="69"/>
      <c r="K59" s="69"/>
      <c r="L59" s="69"/>
      <c r="M59" s="69"/>
      <c r="N59" s="165"/>
      <c r="O59" s="165"/>
      <c r="AI59" s="69"/>
    </row>
    <row r="60" spans="5:41" x14ac:dyDescent="0.25">
      <c r="G60" s="285">
        <v>15</v>
      </c>
      <c r="H60" s="280" t="s">
        <v>355</v>
      </c>
      <c r="I60" s="259">
        <v>43879</v>
      </c>
      <c r="J60" s="69" t="s">
        <v>403</v>
      </c>
      <c r="K60" s="69"/>
      <c r="L60" s="69"/>
      <c r="M60" s="69"/>
      <c r="N60" s="165"/>
      <c r="O60" s="165"/>
      <c r="AI60" s="69"/>
    </row>
    <row r="61" spans="5:41" x14ac:dyDescent="0.25">
      <c r="G61" s="278">
        <v>15</v>
      </c>
      <c r="H61" s="280" t="s">
        <v>355</v>
      </c>
      <c r="I61" s="259">
        <v>43880</v>
      </c>
      <c r="J61" s="69" t="s">
        <v>402</v>
      </c>
      <c r="M61" s="69"/>
      <c r="N61" s="69"/>
      <c r="O61" s="69"/>
      <c r="P61" s="69"/>
      <c r="Q61" s="165"/>
      <c r="AI61" s="69"/>
    </row>
    <row r="62" spans="5:41" x14ac:dyDescent="0.25">
      <c r="E62" s="165"/>
      <c r="F62" s="165"/>
      <c r="G62" s="69"/>
      <c r="H62" s="69"/>
      <c r="I62" s="69"/>
      <c r="J62" s="69"/>
      <c r="K62" s="69"/>
      <c r="L62" s="69"/>
      <c r="M62" s="69"/>
      <c r="N62" s="276">
        <v>35</v>
      </c>
      <c r="O62" s="280" t="s">
        <v>355</v>
      </c>
      <c r="P62" s="214">
        <v>43882</v>
      </c>
      <c r="Q62" t="s">
        <v>208</v>
      </c>
    </row>
    <row r="63" spans="5:41" x14ac:dyDescent="0.25">
      <c r="E63" s="165"/>
      <c r="F63" s="165"/>
      <c r="G63" s="69"/>
      <c r="H63" s="69"/>
      <c r="I63" s="69"/>
      <c r="J63" s="69"/>
      <c r="K63" s="69"/>
      <c r="L63" s="69"/>
      <c r="M63" s="69"/>
      <c r="N63" s="278">
        <v>35</v>
      </c>
      <c r="O63" s="280" t="s">
        <v>355</v>
      </c>
      <c r="P63" s="260">
        <v>43883</v>
      </c>
      <c r="Q63" t="s">
        <v>228</v>
      </c>
    </row>
    <row r="64" spans="5:41" x14ac:dyDescent="0.25">
      <c r="E64" s="165"/>
      <c r="F64" s="165"/>
      <c r="G64" s="69"/>
      <c r="H64" s="69"/>
      <c r="I64" s="69"/>
      <c r="J64" s="69"/>
      <c r="K64" s="69"/>
      <c r="L64" s="69"/>
      <c r="M64" s="69"/>
      <c r="N64" s="278">
        <v>35</v>
      </c>
      <c r="O64" s="280" t="s">
        <v>355</v>
      </c>
      <c r="P64" s="214">
        <v>43884</v>
      </c>
      <c r="Q64" t="s">
        <v>209</v>
      </c>
      <c r="AJ64" s="69"/>
      <c r="AK64" s="69"/>
      <c r="AL64" s="69"/>
      <c r="AM64" s="69"/>
      <c r="AN64" s="69"/>
    </row>
    <row r="65" spans="4:52" x14ac:dyDescent="0.25">
      <c r="E65" s="165"/>
      <c r="F65" s="165"/>
      <c r="G65" s="69"/>
      <c r="H65" s="69"/>
      <c r="I65" s="69"/>
      <c r="J65" s="69"/>
      <c r="K65" s="69"/>
      <c r="L65" s="69"/>
      <c r="M65" s="69"/>
      <c r="N65" s="278">
        <v>35</v>
      </c>
      <c r="O65" s="280" t="s">
        <v>355</v>
      </c>
      <c r="P65" s="259">
        <v>43884</v>
      </c>
      <c r="Q65" t="s">
        <v>404</v>
      </c>
      <c r="AJ65" s="69"/>
      <c r="AK65" s="69"/>
      <c r="AL65" s="69"/>
      <c r="AM65" s="69"/>
      <c r="AN65" s="69"/>
    </row>
    <row r="66" spans="4:52" x14ac:dyDescent="0.25">
      <c r="E66" s="165"/>
      <c r="F66" s="165"/>
      <c r="G66" s="69"/>
      <c r="H66" s="69"/>
      <c r="I66" s="69"/>
      <c r="J66" s="69"/>
      <c r="K66" s="69"/>
      <c r="L66" s="69"/>
      <c r="M66" s="69"/>
      <c r="N66" s="278">
        <v>35</v>
      </c>
      <c r="O66" s="280" t="s">
        <v>355</v>
      </c>
      <c r="P66" s="259">
        <v>43884</v>
      </c>
      <c r="Q66" t="s">
        <v>405</v>
      </c>
      <c r="AJ66" s="69"/>
      <c r="AK66" s="69"/>
      <c r="AL66" s="69"/>
      <c r="AM66" s="69"/>
      <c r="AN66" s="69"/>
      <c r="AP66" s="69"/>
      <c r="AQ66" s="69"/>
      <c r="AR66" s="69"/>
      <c r="AS66" s="69"/>
      <c r="AT66" s="69"/>
    </row>
    <row r="67" spans="4:52" x14ac:dyDescent="0.25">
      <c r="D67" s="214"/>
      <c r="N67" s="278">
        <v>53</v>
      </c>
      <c r="O67" s="280" t="s">
        <v>355</v>
      </c>
      <c r="P67" s="259">
        <v>43885</v>
      </c>
      <c r="Q67" t="s">
        <v>196</v>
      </c>
    </row>
    <row r="68" spans="4:52" x14ac:dyDescent="0.25">
      <c r="N68" s="278">
        <v>57</v>
      </c>
      <c r="O68" s="280" t="s">
        <v>355</v>
      </c>
      <c r="P68" s="165">
        <v>43886</v>
      </c>
      <c r="Q68" t="s">
        <v>210</v>
      </c>
    </row>
    <row r="69" spans="4:52" x14ac:dyDescent="0.25">
      <c r="N69" s="278">
        <v>57</v>
      </c>
      <c r="O69" s="280" t="s">
        <v>355</v>
      </c>
      <c r="P69" s="259">
        <v>43886</v>
      </c>
      <c r="Q69" t="s">
        <v>211</v>
      </c>
      <c r="S69" s="69"/>
      <c r="T69" s="69"/>
      <c r="AO69" s="69"/>
    </row>
    <row r="70" spans="4:52" x14ac:dyDescent="0.25">
      <c r="N70" s="278">
        <v>57</v>
      </c>
      <c r="O70" s="280" t="s">
        <v>355</v>
      </c>
      <c r="P70" s="259">
        <v>43886</v>
      </c>
      <c r="Q70" t="s">
        <v>271</v>
      </c>
      <c r="AO70" s="69"/>
    </row>
    <row r="71" spans="4:52" x14ac:dyDescent="0.25">
      <c r="N71" s="278">
        <v>57</v>
      </c>
      <c r="O71" s="280" t="s">
        <v>355</v>
      </c>
      <c r="P71" s="165">
        <v>43886</v>
      </c>
      <c r="Q71" t="s">
        <v>212</v>
      </c>
      <c r="AO71" s="69"/>
    </row>
    <row r="72" spans="4:52" x14ac:dyDescent="0.25">
      <c r="N72" s="276">
        <v>60</v>
      </c>
      <c r="O72" s="280" t="s">
        <v>355</v>
      </c>
      <c r="P72" s="259">
        <v>43887</v>
      </c>
      <c r="Q72" t="s">
        <v>408</v>
      </c>
      <c r="AO72" s="69"/>
    </row>
    <row r="73" spans="4:52" x14ac:dyDescent="0.25">
      <c r="N73" s="278">
        <v>60</v>
      </c>
      <c r="O73" s="280" t="s">
        <v>355</v>
      </c>
      <c r="P73" s="259">
        <v>43887</v>
      </c>
      <c r="Q73" t="s">
        <v>409</v>
      </c>
      <c r="AO73" s="69"/>
    </row>
    <row r="74" spans="4:52" x14ac:dyDescent="0.25">
      <c r="N74" s="278">
        <v>60</v>
      </c>
      <c r="O74" s="280" t="s">
        <v>355</v>
      </c>
      <c r="P74" s="259">
        <v>43887</v>
      </c>
      <c r="Q74" t="s">
        <v>407</v>
      </c>
      <c r="AO74" s="69"/>
    </row>
    <row r="75" spans="4:52" x14ac:dyDescent="0.25">
      <c r="N75" s="278">
        <v>60</v>
      </c>
      <c r="O75" s="280" t="s">
        <v>355</v>
      </c>
      <c r="P75" s="259">
        <v>43888</v>
      </c>
      <c r="Q75" t="s">
        <v>267</v>
      </c>
      <c r="AO75" s="69"/>
      <c r="AU75" s="69"/>
      <c r="AV75" s="69"/>
      <c r="AW75" s="69"/>
      <c r="AX75" s="69"/>
      <c r="AY75" s="69"/>
      <c r="AZ75" s="69"/>
    </row>
    <row r="76" spans="4:52" x14ac:dyDescent="0.25">
      <c r="N76" s="278">
        <v>60</v>
      </c>
      <c r="O76" s="280" t="s">
        <v>355</v>
      </c>
      <c r="P76" s="259">
        <v>43888</v>
      </c>
      <c r="Q76" t="s">
        <v>268</v>
      </c>
      <c r="AJ76" s="69"/>
      <c r="AK76" s="69"/>
      <c r="AL76" s="69"/>
      <c r="AM76" s="69"/>
      <c r="AN76" s="69"/>
    </row>
    <row r="77" spans="4:52" x14ac:dyDescent="0.25">
      <c r="N77" s="278">
        <v>63</v>
      </c>
      <c r="O77" s="280" t="s">
        <v>355</v>
      </c>
      <c r="P77" s="259">
        <v>43889</v>
      </c>
      <c r="Q77" t="s">
        <v>279</v>
      </c>
      <c r="AJ77" s="69"/>
      <c r="AK77" s="69"/>
      <c r="AL77" s="69"/>
      <c r="AM77" s="69"/>
      <c r="AN77" s="69"/>
    </row>
    <row r="78" spans="4:52" x14ac:dyDescent="0.25">
      <c r="N78" s="278">
        <v>63</v>
      </c>
      <c r="O78" s="280" t="s">
        <v>355</v>
      </c>
      <c r="P78" s="165">
        <v>43889</v>
      </c>
      <c r="Q78" t="s">
        <v>389</v>
      </c>
      <c r="AJ78" s="69"/>
      <c r="AK78" s="69"/>
      <c r="AL78" s="69"/>
      <c r="AM78" s="69"/>
      <c r="AN78" s="69"/>
    </row>
    <row r="79" spans="4:52" x14ac:dyDescent="0.25">
      <c r="O79" s="278">
        <v>68</v>
      </c>
      <c r="P79" s="279">
        <v>1</v>
      </c>
      <c r="Q79" s="158">
        <v>43890</v>
      </c>
      <c r="R79" s="159" t="s">
        <v>198</v>
      </c>
      <c r="S79" s="159"/>
      <c r="T79" s="159"/>
      <c r="U79" s="159"/>
      <c r="V79" s="158">
        <f>Q79+14</f>
        <v>43904</v>
      </c>
    </row>
    <row r="80" spans="4:52" x14ac:dyDescent="0.25">
      <c r="O80" s="278">
        <v>68</v>
      </c>
      <c r="P80" s="280">
        <v>1</v>
      </c>
      <c r="Q80" s="259">
        <v>43890</v>
      </c>
      <c r="R80" s="69" t="s">
        <v>280</v>
      </c>
      <c r="S80" s="69"/>
      <c r="T80" s="165"/>
    </row>
    <row r="81" spans="3:46" x14ac:dyDescent="0.25">
      <c r="E81" s="165"/>
      <c r="O81" s="278">
        <v>100</v>
      </c>
      <c r="P81" s="279">
        <v>6</v>
      </c>
      <c r="Q81" s="158">
        <v>43892</v>
      </c>
      <c r="R81" s="158" t="s">
        <v>175</v>
      </c>
      <c r="S81" s="158"/>
      <c r="T81" s="159"/>
      <c r="U81" s="159"/>
      <c r="V81" s="159"/>
      <c r="W81" s="158">
        <v>43906</v>
      </c>
      <c r="AO81" s="69"/>
    </row>
    <row r="82" spans="3:46" x14ac:dyDescent="0.25">
      <c r="C82" s="69"/>
      <c r="D82" s="69"/>
      <c r="E82" s="165"/>
      <c r="F82" s="69"/>
      <c r="G82" s="69"/>
      <c r="H82" s="69"/>
      <c r="I82" s="69"/>
      <c r="J82" s="69"/>
      <c r="K82" s="69"/>
      <c r="L82" s="69"/>
      <c r="M82" s="69"/>
      <c r="N82" s="69"/>
      <c r="O82" s="278">
        <v>100</v>
      </c>
      <c r="P82" s="280">
        <v>6</v>
      </c>
      <c r="Q82" s="259">
        <v>43892</v>
      </c>
      <c r="R82" s="165" t="s">
        <v>281</v>
      </c>
      <c r="S82" s="165"/>
      <c r="T82" s="69"/>
      <c r="U82" s="165"/>
      <c r="V82" s="69"/>
      <c r="W82" s="69"/>
      <c r="Z82" s="69"/>
      <c r="AA82" s="69"/>
      <c r="AB82" s="69"/>
      <c r="AC82" s="69"/>
      <c r="AD82" s="69"/>
      <c r="AE82" s="69"/>
      <c r="AF82" s="69"/>
      <c r="AG82" s="69"/>
      <c r="AH82" s="69"/>
    </row>
    <row r="83" spans="3:46" x14ac:dyDescent="0.25">
      <c r="C83" s="69"/>
      <c r="D83" s="69"/>
      <c r="E83" s="165"/>
      <c r="F83" s="69"/>
      <c r="G83" s="69"/>
      <c r="H83" s="69"/>
      <c r="I83" s="69"/>
      <c r="J83" s="69"/>
      <c r="K83" s="69"/>
      <c r="L83" s="69"/>
      <c r="M83" s="69"/>
      <c r="N83" s="69"/>
      <c r="O83" s="69"/>
      <c r="P83" s="276">
        <v>124</v>
      </c>
      <c r="Q83" s="280">
        <v>9</v>
      </c>
      <c r="R83" s="165">
        <v>43893</v>
      </c>
      <c r="S83" s="69" t="s">
        <v>222</v>
      </c>
      <c r="V83" s="69"/>
      <c r="W83" s="165"/>
      <c r="X83" s="69"/>
      <c r="Y83" s="69"/>
      <c r="Z83" s="69"/>
      <c r="AA83" s="69"/>
      <c r="AB83" s="69"/>
      <c r="AC83" s="69"/>
      <c r="AD83" s="69"/>
      <c r="AE83" s="69"/>
      <c r="AF83" s="69"/>
      <c r="AG83" s="69"/>
      <c r="AH83" s="69"/>
    </row>
    <row r="84" spans="3:46" x14ac:dyDescent="0.25">
      <c r="E84" s="165"/>
      <c r="P84" s="278">
        <v>158</v>
      </c>
      <c r="Q84" s="280">
        <v>11</v>
      </c>
      <c r="R84" s="259">
        <v>43894</v>
      </c>
      <c r="S84" t="s">
        <v>199</v>
      </c>
    </row>
    <row r="85" spans="3:46" x14ac:dyDescent="0.25">
      <c r="E85" s="165"/>
      <c r="P85" s="278">
        <v>158</v>
      </c>
      <c r="Q85" s="280">
        <v>11</v>
      </c>
      <c r="R85" s="259">
        <v>43894</v>
      </c>
      <c r="S85" t="s">
        <v>325</v>
      </c>
      <c r="AP85" s="69"/>
    </row>
    <row r="86" spans="3:46" x14ac:dyDescent="0.25">
      <c r="E86" s="165"/>
      <c r="Q86" s="276">
        <v>221</v>
      </c>
      <c r="R86" s="280">
        <v>12</v>
      </c>
      <c r="S86" s="259">
        <v>43895</v>
      </c>
      <c r="T86" s="69" t="s">
        <v>326</v>
      </c>
      <c r="W86" s="165"/>
      <c r="AP86" s="69"/>
    </row>
    <row r="87" spans="3:46" x14ac:dyDescent="0.25">
      <c r="E87" s="165"/>
      <c r="Q87" s="278">
        <v>221</v>
      </c>
      <c r="R87" s="280">
        <v>12</v>
      </c>
      <c r="S87" s="259">
        <v>43895</v>
      </c>
      <c r="T87" s="69" t="s">
        <v>276</v>
      </c>
      <c r="W87" s="165"/>
      <c r="AP87" s="69"/>
    </row>
    <row r="88" spans="3:46" x14ac:dyDescent="0.25">
      <c r="E88" s="165"/>
      <c r="Q88" s="278">
        <v>319</v>
      </c>
      <c r="R88" s="279">
        <v>15</v>
      </c>
      <c r="S88" s="259">
        <v>43896</v>
      </c>
      <c r="T88" s="69" t="s">
        <v>235</v>
      </c>
      <c r="W88" s="165"/>
      <c r="AI88" s="69"/>
      <c r="AP88" s="69"/>
    </row>
    <row r="89" spans="3:46" x14ac:dyDescent="0.25">
      <c r="C89" s="69"/>
      <c r="D89" s="69"/>
      <c r="E89" s="165"/>
      <c r="F89" s="69"/>
      <c r="G89" s="69"/>
      <c r="H89" s="69"/>
      <c r="I89" s="69"/>
      <c r="J89" s="69"/>
      <c r="K89" s="69"/>
      <c r="L89" s="69"/>
      <c r="M89" s="69"/>
      <c r="N89" s="69"/>
      <c r="O89" s="69"/>
      <c r="P89" s="69"/>
      <c r="Q89" s="278">
        <v>319</v>
      </c>
      <c r="R89" s="280">
        <v>15</v>
      </c>
      <c r="S89" s="165">
        <v>43896</v>
      </c>
      <c r="T89" s="69" t="s">
        <v>246</v>
      </c>
      <c r="W89" s="165"/>
      <c r="X89" s="69"/>
      <c r="Y89" s="69"/>
      <c r="Z89" s="69"/>
      <c r="AA89" s="69"/>
      <c r="AB89" s="69"/>
      <c r="AC89" s="69"/>
      <c r="AD89" s="69"/>
      <c r="AE89" s="69"/>
      <c r="AF89" s="69"/>
      <c r="AG89" s="69"/>
      <c r="AH89" s="69"/>
      <c r="AI89" s="69"/>
      <c r="AO89" s="69"/>
      <c r="AP89" s="69"/>
    </row>
    <row r="90" spans="3:46" x14ac:dyDescent="0.25">
      <c r="C90" s="69"/>
      <c r="D90" s="69"/>
      <c r="E90" s="165"/>
      <c r="F90" s="69"/>
      <c r="G90" s="69"/>
      <c r="H90" s="69"/>
      <c r="I90" s="69"/>
      <c r="J90" s="69"/>
      <c r="K90" s="69"/>
      <c r="L90" s="69"/>
      <c r="M90" s="69"/>
      <c r="N90" s="69"/>
      <c r="O90" s="69"/>
      <c r="P90" s="69"/>
      <c r="Q90" s="278">
        <v>319</v>
      </c>
      <c r="R90" s="280">
        <v>15</v>
      </c>
      <c r="S90" s="259">
        <v>43896</v>
      </c>
      <c r="T90" s="69" t="s">
        <v>283</v>
      </c>
      <c r="W90" s="165"/>
      <c r="X90" s="69"/>
      <c r="Y90" s="69"/>
      <c r="Z90" s="69"/>
      <c r="AA90" s="69"/>
      <c r="AB90" s="69"/>
      <c r="AC90" s="69"/>
      <c r="AD90" s="69"/>
      <c r="AE90" s="69"/>
      <c r="AF90" s="69"/>
      <c r="AG90" s="69"/>
      <c r="AH90" s="69"/>
      <c r="AO90" s="69"/>
      <c r="AP90" s="69"/>
    </row>
    <row r="91" spans="3:46" x14ac:dyDescent="0.25">
      <c r="C91" s="69"/>
      <c r="D91" s="69"/>
      <c r="E91" s="165"/>
      <c r="F91" s="69"/>
      <c r="G91" s="69"/>
      <c r="H91" s="69"/>
      <c r="I91" s="69"/>
      <c r="J91" s="69"/>
      <c r="K91" s="69"/>
      <c r="L91" s="69"/>
      <c r="M91" s="69"/>
      <c r="N91" s="69"/>
      <c r="O91" s="69"/>
      <c r="P91" s="69"/>
      <c r="Q91" s="278">
        <v>319</v>
      </c>
      <c r="R91" s="280">
        <v>15</v>
      </c>
      <c r="S91" s="259">
        <v>43896</v>
      </c>
      <c r="T91" s="69" t="s">
        <v>284</v>
      </c>
      <c r="W91" s="165"/>
      <c r="X91" s="69"/>
      <c r="Y91" s="69"/>
      <c r="Z91" s="69"/>
      <c r="AA91" s="69"/>
      <c r="AB91" s="69"/>
      <c r="AC91" s="69"/>
      <c r="AD91" s="69"/>
      <c r="AE91" s="69"/>
      <c r="AF91" s="69"/>
      <c r="AG91" s="69"/>
      <c r="AH91" s="69"/>
      <c r="AP91" s="69"/>
    </row>
    <row r="92" spans="3:46" x14ac:dyDescent="0.25">
      <c r="C92" s="69"/>
      <c r="D92" s="69"/>
      <c r="E92" s="165"/>
      <c r="F92" s="69"/>
      <c r="G92" s="69"/>
      <c r="H92" s="69"/>
      <c r="I92" s="69"/>
      <c r="J92" s="69"/>
      <c r="K92" s="69"/>
      <c r="L92" s="69"/>
      <c r="M92" s="69"/>
      <c r="N92" s="69"/>
      <c r="O92" s="69"/>
      <c r="P92" s="69"/>
      <c r="Q92" s="276">
        <v>435</v>
      </c>
      <c r="R92" s="280">
        <v>19</v>
      </c>
      <c r="S92" s="259">
        <v>43897</v>
      </c>
      <c r="T92" s="69" t="s">
        <v>270</v>
      </c>
      <c r="W92" s="165"/>
      <c r="X92" s="69"/>
      <c r="Y92" s="69"/>
      <c r="Z92" s="69"/>
      <c r="AA92" s="69"/>
      <c r="AB92" s="69"/>
      <c r="AC92" s="69"/>
      <c r="AD92" s="69"/>
      <c r="AE92" s="69"/>
      <c r="AF92" s="69"/>
      <c r="AG92" s="69"/>
      <c r="AH92" s="69"/>
    </row>
    <row r="93" spans="3:46" x14ac:dyDescent="0.25">
      <c r="C93" s="69"/>
      <c r="D93" s="69"/>
      <c r="E93" s="165"/>
      <c r="F93" s="69"/>
      <c r="G93" s="69"/>
      <c r="H93" s="69"/>
      <c r="I93" s="69"/>
      <c r="J93" s="69"/>
      <c r="K93" s="69"/>
      <c r="L93" s="69"/>
      <c r="M93" s="69"/>
      <c r="N93" s="69"/>
      <c r="O93" s="69"/>
      <c r="P93" s="69"/>
      <c r="Q93" s="69"/>
      <c r="R93" s="278">
        <v>541</v>
      </c>
      <c r="S93" s="280">
        <v>22</v>
      </c>
      <c r="T93" s="259">
        <v>43898</v>
      </c>
      <c r="U93" s="165" t="s">
        <v>285</v>
      </c>
      <c r="V93" s="69"/>
      <c r="W93" s="69"/>
      <c r="X93" s="69"/>
      <c r="Y93" s="69"/>
      <c r="Z93" s="69"/>
      <c r="AA93" s="69"/>
      <c r="AB93" s="69"/>
      <c r="AC93" s="69"/>
      <c r="AD93" s="69"/>
      <c r="AE93" s="69"/>
      <c r="AF93" s="69"/>
      <c r="AG93" s="69"/>
      <c r="AH93" s="69"/>
    </row>
    <row r="94" spans="3:46" x14ac:dyDescent="0.25">
      <c r="E94" s="165"/>
      <c r="R94" s="278">
        <v>704</v>
      </c>
      <c r="S94" s="280">
        <v>26</v>
      </c>
      <c r="T94" s="259">
        <v>43899</v>
      </c>
      <c r="U94" s="165" t="s">
        <v>351</v>
      </c>
    </row>
    <row r="95" spans="3:46" x14ac:dyDescent="0.25">
      <c r="E95" s="165"/>
      <c r="R95" s="278">
        <v>704</v>
      </c>
      <c r="S95" s="280">
        <v>26</v>
      </c>
      <c r="T95" s="259">
        <v>43899</v>
      </c>
      <c r="U95" s="165" t="s">
        <v>327</v>
      </c>
      <c r="AI95" s="69"/>
      <c r="AQ95" s="69"/>
      <c r="AR95" s="69"/>
      <c r="AS95" s="69"/>
      <c r="AT95" s="69"/>
    </row>
    <row r="96" spans="3:46" x14ac:dyDescent="0.25">
      <c r="E96" s="165"/>
      <c r="R96" s="278">
        <v>704</v>
      </c>
      <c r="S96" s="280">
        <v>26</v>
      </c>
      <c r="T96" s="259">
        <v>43899</v>
      </c>
      <c r="U96" s="165" t="s">
        <v>213</v>
      </c>
      <c r="AI96" s="69"/>
      <c r="AQ96" s="69"/>
      <c r="AR96" s="69"/>
      <c r="AS96" s="69"/>
      <c r="AT96" s="69"/>
    </row>
    <row r="97" spans="3:57" x14ac:dyDescent="0.25">
      <c r="E97" s="165"/>
      <c r="R97" s="276">
        <v>994</v>
      </c>
      <c r="S97" s="279">
        <v>30</v>
      </c>
      <c r="T97" s="259">
        <v>43900</v>
      </c>
      <c r="U97" s="165" t="s">
        <v>286</v>
      </c>
      <c r="AI97" s="69"/>
      <c r="AP97" s="69"/>
      <c r="AQ97" s="69"/>
      <c r="AR97" s="69"/>
      <c r="AS97" s="69"/>
      <c r="AT97" s="69"/>
    </row>
    <row r="98" spans="3:57" x14ac:dyDescent="0.25">
      <c r="E98" s="165"/>
      <c r="R98" s="278">
        <v>994</v>
      </c>
      <c r="S98" s="280">
        <v>30</v>
      </c>
      <c r="T98" s="259">
        <v>43900</v>
      </c>
      <c r="U98" s="165" t="s">
        <v>214</v>
      </c>
      <c r="AI98" s="69"/>
      <c r="AQ98" s="69"/>
      <c r="AR98" s="69"/>
      <c r="AS98" s="69"/>
      <c r="AT98" s="69"/>
    </row>
    <row r="99" spans="3:57" x14ac:dyDescent="0.25">
      <c r="E99" s="165"/>
      <c r="R99" s="165"/>
      <c r="S99" s="278">
        <v>1301</v>
      </c>
      <c r="T99" s="280">
        <v>38</v>
      </c>
      <c r="U99" s="260">
        <v>43901</v>
      </c>
      <c r="V99" s="69" t="s">
        <v>201</v>
      </c>
      <c r="AI99" s="69"/>
      <c r="AQ99" s="69"/>
      <c r="AR99" s="69"/>
      <c r="AS99" s="69"/>
      <c r="AT99" s="69"/>
    </row>
    <row r="100" spans="3:57" x14ac:dyDescent="0.25">
      <c r="E100" s="165"/>
      <c r="R100" s="165"/>
      <c r="S100" s="278">
        <v>1301</v>
      </c>
      <c r="T100" s="280">
        <v>38</v>
      </c>
      <c r="U100" s="259">
        <v>43901</v>
      </c>
      <c r="V100" s="69" t="s">
        <v>245</v>
      </c>
      <c r="AJ100" s="69"/>
      <c r="AK100" s="69"/>
      <c r="AL100" s="69"/>
      <c r="AM100" s="69"/>
      <c r="AN100" s="69"/>
      <c r="AQ100" s="69"/>
      <c r="AR100" s="69"/>
      <c r="AS100" s="69"/>
      <c r="AT100" s="69"/>
    </row>
    <row r="101" spans="3:57" x14ac:dyDescent="0.25">
      <c r="E101" s="165"/>
      <c r="S101" s="278">
        <v>1301</v>
      </c>
      <c r="T101" s="280">
        <v>38</v>
      </c>
      <c r="U101" s="259">
        <v>43901</v>
      </c>
      <c r="V101" t="s">
        <v>219</v>
      </c>
      <c r="AJ101" s="69"/>
      <c r="AK101" s="69"/>
      <c r="AL101" s="69"/>
      <c r="AM101" s="69"/>
      <c r="AN101" s="69"/>
      <c r="AQ101" s="69"/>
      <c r="AR101" s="69"/>
      <c r="AS101" s="69"/>
      <c r="AT101" s="69"/>
    </row>
    <row r="102" spans="3:57" x14ac:dyDescent="0.25">
      <c r="C102" s="69"/>
      <c r="D102" s="69"/>
      <c r="E102" s="165"/>
      <c r="F102" s="69"/>
      <c r="G102" s="69"/>
      <c r="H102" s="69"/>
      <c r="I102" s="69"/>
      <c r="J102" s="69"/>
      <c r="K102" s="69"/>
      <c r="L102" s="69"/>
      <c r="M102" s="69"/>
      <c r="N102" s="69"/>
      <c r="O102" s="69"/>
      <c r="P102" s="69"/>
      <c r="Q102" s="69"/>
      <c r="R102" s="165"/>
      <c r="S102" s="278">
        <v>1630</v>
      </c>
      <c r="T102" s="280">
        <v>41</v>
      </c>
      <c r="U102" s="165">
        <v>43902</v>
      </c>
      <c r="V102" s="69" t="s">
        <v>238</v>
      </c>
      <c r="W102" s="69"/>
      <c r="X102" s="69"/>
      <c r="Y102" s="69"/>
      <c r="Z102" s="69"/>
      <c r="AA102" s="69"/>
      <c r="AB102" s="69"/>
      <c r="AC102" s="69"/>
      <c r="AD102" s="69"/>
      <c r="AE102" s="69"/>
      <c r="AH102" s="69"/>
      <c r="AQ102" s="69"/>
      <c r="AR102" s="69"/>
      <c r="AS102" s="69"/>
      <c r="AT102" s="69"/>
    </row>
    <row r="103" spans="3:57" x14ac:dyDescent="0.25">
      <c r="E103" s="165"/>
      <c r="S103" s="278">
        <v>1630</v>
      </c>
      <c r="T103" s="280">
        <v>41</v>
      </c>
      <c r="U103" s="259">
        <v>43902</v>
      </c>
      <c r="V103" t="s">
        <v>215</v>
      </c>
      <c r="AQ103" s="69"/>
      <c r="AR103" s="69"/>
      <c r="AS103" s="69"/>
      <c r="AT103" s="69"/>
    </row>
    <row r="104" spans="3:57" x14ac:dyDescent="0.25">
      <c r="E104" s="165"/>
      <c r="S104" s="277">
        <v>2183</v>
      </c>
      <c r="T104" s="280">
        <v>48</v>
      </c>
      <c r="U104" s="158">
        <v>43903</v>
      </c>
      <c r="V104" s="159" t="s">
        <v>176</v>
      </c>
      <c r="W104" s="159"/>
      <c r="X104" s="159"/>
      <c r="Y104" s="159"/>
      <c r="Z104" s="159"/>
      <c r="AA104" s="159"/>
      <c r="AB104" s="159"/>
      <c r="AC104" s="159"/>
      <c r="AD104" s="159"/>
      <c r="AE104" s="159"/>
      <c r="AF104" s="159"/>
      <c r="AG104" s="159"/>
      <c r="AH104" s="159"/>
      <c r="AQ104" s="69"/>
      <c r="AR104" s="69"/>
      <c r="AS104" s="69"/>
      <c r="AT104" s="69"/>
      <c r="AU104" s="69"/>
      <c r="AV104" s="69"/>
      <c r="AW104" s="69"/>
      <c r="AX104" s="69"/>
      <c r="AY104" s="69"/>
      <c r="AZ104" s="69"/>
    </row>
    <row r="105" spans="3:57" x14ac:dyDescent="0.25">
      <c r="E105" s="165"/>
      <c r="S105" s="278">
        <v>2183</v>
      </c>
      <c r="T105" s="280">
        <v>48</v>
      </c>
      <c r="U105" s="259">
        <v>43903</v>
      </c>
      <c r="V105" t="s">
        <v>216</v>
      </c>
      <c r="AP105" s="69"/>
      <c r="AU105" s="69"/>
      <c r="AV105" s="69"/>
      <c r="AW105" s="69"/>
      <c r="AX105" s="69"/>
      <c r="AY105" s="69"/>
      <c r="AZ105" s="69"/>
    </row>
    <row r="106" spans="3:57" x14ac:dyDescent="0.25">
      <c r="E106" s="165"/>
      <c r="S106" s="278">
        <v>2183</v>
      </c>
      <c r="T106" s="280">
        <v>48</v>
      </c>
      <c r="U106" s="259">
        <v>43903</v>
      </c>
      <c r="V106" t="s">
        <v>217</v>
      </c>
      <c r="AP106" s="69"/>
      <c r="AU106" s="69"/>
      <c r="AV106" s="69"/>
      <c r="AW106" s="69"/>
      <c r="AX106" s="69"/>
      <c r="AY106" s="69"/>
      <c r="AZ106" s="69"/>
    </row>
    <row r="107" spans="3:57" x14ac:dyDescent="0.25">
      <c r="C107" s="69"/>
      <c r="D107" s="69"/>
      <c r="E107" s="165"/>
      <c r="F107" s="69"/>
      <c r="G107" s="69"/>
      <c r="H107" s="69"/>
      <c r="I107" s="69"/>
      <c r="J107" s="69"/>
      <c r="K107" s="69"/>
      <c r="L107" s="69"/>
      <c r="M107" s="69"/>
      <c r="N107" s="69"/>
      <c r="O107" s="69"/>
      <c r="P107" s="69"/>
      <c r="Q107" s="69"/>
      <c r="R107" s="69"/>
      <c r="S107" s="278">
        <v>2183</v>
      </c>
      <c r="T107" s="280">
        <v>48</v>
      </c>
      <c r="U107" s="165">
        <v>43903</v>
      </c>
      <c r="V107" s="69" t="s">
        <v>253</v>
      </c>
      <c r="W107" s="69"/>
      <c r="X107" s="69"/>
      <c r="Y107" s="69"/>
      <c r="Z107" s="69"/>
      <c r="AA107" s="69"/>
      <c r="AB107" s="69"/>
      <c r="AC107" s="69"/>
      <c r="AD107" s="69"/>
      <c r="AE107" s="69"/>
      <c r="AH107" s="69"/>
      <c r="AJ107" s="69"/>
      <c r="AK107" s="69"/>
      <c r="AL107" s="69"/>
      <c r="AM107" s="69"/>
      <c r="AN107" s="69"/>
      <c r="AU107" s="69"/>
      <c r="AV107" s="69"/>
      <c r="AW107" s="69"/>
      <c r="AX107" s="69"/>
      <c r="AY107" s="69"/>
      <c r="AZ107" s="69"/>
    </row>
    <row r="108" spans="3:57" x14ac:dyDescent="0.25">
      <c r="D108" s="165"/>
      <c r="Q108" s="69"/>
      <c r="R108" s="165"/>
      <c r="S108" s="69"/>
      <c r="T108" s="278">
        <v>2771</v>
      </c>
      <c r="U108" s="279">
        <v>58</v>
      </c>
      <c r="V108" s="158">
        <v>43904</v>
      </c>
      <c r="W108" s="159" t="s">
        <v>171</v>
      </c>
      <c r="X108" s="159"/>
      <c r="Y108" s="158"/>
      <c r="Z108" s="158"/>
      <c r="AA108" s="159"/>
      <c r="AB108" s="158">
        <v>43918</v>
      </c>
      <c r="AI108" s="69"/>
      <c r="AJ108" s="69"/>
      <c r="AK108" s="69"/>
      <c r="AL108" s="69"/>
      <c r="AM108" s="69"/>
      <c r="AN108" s="69"/>
      <c r="AU108" s="69"/>
      <c r="AV108" s="69"/>
      <c r="AW108" s="69"/>
      <c r="AX108" s="69"/>
      <c r="AY108" s="69"/>
      <c r="AZ108" s="69"/>
    </row>
    <row r="109" spans="3:57" x14ac:dyDescent="0.25">
      <c r="D109" s="69"/>
      <c r="E109" s="69"/>
      <c r="F109" s="165"/>
      <c r="G109" s="165"/>
      <c r="H109" s="165"/>
      <c r="I109" s="165"/>
      <c r="J109" s="165"/>
      <c r="K109" s="165"/>
      <c r="L109" s="165"/>
      <c r="M109" s="165"/>
      <c r="N109" s="165"/>
      <c r="O109" s="165"/>
      <c r="P109" s="69"/>
      <c r="Q109" s="69"/>
      <c r="U109" s="277">
        <v>4604</v>
      </c>
      <c r="V109" s="280">
        <v>95</v>
      </c>
      <c r="W109" s="158">
        <v>43906</v>
      </c>
      <c r="X109" s="159" t="s">
        <v>360</v>
      </c>
      <c r="Y109" s="159"/>
      <c r="Z109" s="159"/>
      <c r="AA109" s="159"/>
      <c r="AB109" s="159"/>
      <c r="AC109" s="159"/>
      <c r="AD109" s="159"/>
      <c r="AE109" s="159"/>
      <c r="AF109" s="159"/>
      <c r="AG109" s="159"/>
      <c r="AH109" s="159"/>
      <c r="AJ109" s="69"/>
      <c r="AK109" s="69"/>
      <c r="AL109" s="69"/>
      <c r="AM109" s="69"/>
      <c r="AN109" s="69"/>
      <c r="AU109" s="69"/>
      <c r="AV109" s="69"/>
      <c r="AW109" s="69"/>
      <c r="AX109" s="69"/>
      <c r="AY109" s="69"/>
      <c r="AZ109" s="69"/>
      <c r="BA109" s="69"/>
      <c r="BB109" s="69"/>
      <c r="BC109" s="69"/>
      <c r="BD109" s="69"/>
      <c r="BE109" s="69"/>
    </row>
    <row r="110" spans="3:57" x14ac:dyDescent="0.25">
      <c r="D110" s="69"/>
      <c r="E110" s="69"/>
      <c r="F110" s="165"/>
      <c r="G110" s="165"/>
      <c r="H110" s="165"/>
      <c r="I110" s="165"/>
      <c r="J110" s="165"/>
      <c r="K110" s="165"/>
      <c r="L110" s="165"/>
      <c r="M110" s="165"/>
      <c r="N110" s="165"/>
      <c r="O110" s="165"/>
      <c r="P110" s="69"/>
      <c r="Q110" s="69"/>
      <c r="U110" s="278">
        <v>4604</v>
      </c>
      <c r="V110" s="280">
        <v>95</v>
      </c>
      <c r="W110" s="214">
        <v>43906</v>
      </c>
      <c r="X110" s="165" t="s">
        <v>508</v>
      </c>
      <c r="Y110" s="69"/>
      <c r="Z110" s="69"/>
      <c r="AA110" s="69"/>
      <c r="AB110" s="69"/>
      <c r="AC110" s="69"/>
      <c r="AD110" s="69"/>
      <c r="AE110" s="69"/>
      <c r="AF110" s="69"/>
      <c r="AG110" s="69"/>
      <c r="AH110" s="69"/>
      <c r="AJ110" s="69"/>
      <c r="AK110" s="69"/>
      <c r="AL110" s="69"/>
      <c r="AM110" s="69"/>
      <c r="AN110" s="69"/>
      <c r="AU110" s="69"/>
      <c r="AV110" s="69"/>
      <c r="AW110" s="69"/>
      <c r="AX110" s="69"/>
      <c r="AY110" s="69"/>
      <c r="AZ110" s="69"/>
    </row>
    <row r="111" spans="3:57" x14ac:dyDescent="0.25">
      <c r="D111" s="69"/>
      <c r="E111" s="69"/>
      <c r="F111" s="69"/>
      <c r="G111" s="69"/>
      <c r="H111" s="69"/>
      <c r="I111" s="69"/>
      <c r="J111" s="69"/>
      <c r="K111" s="69"/>
      <c r="L111" s="69"/>
      <c r="M111" s="69"/>
      <c r="N111" s="69"/>
      <c r="O111" s="69"/>
      <c r="P111" s="165"/>
      <c r="Q111" s="69"/>
      <c r="R111" s="69"/>
      <c r="S111" s="69"/>
      <c r="T111" s="165"/>
      <c r="U111" s="278">
        <v>6357</v>
      </c>
      <c r="V111" s="279">
        <v>121</v>
      </c>
      <c r="W111" s="259">
        <v>43907</v>
      </c>
      <c r="X111" t="s">
        <v>200</v>
      </c>
      <c r="AJ111" s="69"/>
      <c r="AK111" s="69"/>
      <c r="AL111" s="69"/>
      <c r="AM111" s="69"/>
      <c r="AN111" s="69"/>
      <c r="AU111" s="69"/>
      <c r="AV111" s="69"/>
      <c r="AW111" s="69"/>
      <c r="AX111" s="69"/>
      <c r="AY111" s="69"/>
      <c r="AZ111" s="69"/>
    </row>
    <row r="112" spans="3:57" x14ac:dyDescent="0.25">
      <c r="V112" s="277">
        <v>9317</v>
      </c>
      <c r="W112" s="280">
        <v>171</v>
      </c>
      <c r="X112" s="158">
        <v>43908</v>
      </c>
      <c r="Y112" s="159" t="s">
        <v>172</v>
      </c>
      <c r="Z112" s="158">
        <v>43922</v>
      </c>
      <c r="AJ112" s="69"/>
      <c r="AK112" s="69"/>
      <c r="AL112" s="69"/>
      <c r="AM112" s="69"/>
      <c r="AN112" s="69"/>
      <c r="AU112" s="69"/>
      <c r="AV112" s="69"/>
      <c r="AW112" s="69"/>
      <c r="AX112" s="69"/>
      <c r="AY112" s="69"/>
      <c r="AZ112" s="69"/>
    </row>
    <row r="113" spans="3:63" x14ac:dyDescent="0.25">
      <c r="V113" s="278">
        <v>9317</v>
      </c>
      <c r="W113" s="280">
        <v>171</v>
      </c>
      <c r="X113" s="259">
        <v>43908</v>
      </c>
      <c r="Y113" s="69" t="s">
        <v>239</v>
      </c>
      <c r="Z113" s="165"/>
      <c r="AO113" s="69"/>
      <c r="AU113" s="69"/>
      <c r="AV113" s="69"/>
      <c r="AW113" s="69"/>
      <c r="AX113" s="69"/>
      <c r="AY113" s="69"/>
      <c r="AZ113" s="69"/>
    </row>
    <row r="114" spans="3:63" x14ac:dyDescent="0.25">
      <c r="V114" s="278">
        <v>9317</v>
      </c>
      <c r="W114" s="280">
        <v>171</v>
      </c>
      <c r="X114" s="259">
        <v>43908</v>
      </c>
      <c r="Y114" s="69" t="s">
        <v>399</v>
      </c>
      <c r="Z114" s="165"/>
      <c r="AO114" s="69"/>
    </row>
    <row r="115" spans="3:63" x14ac:dyDescent="0.25">
      <c r="V115" s="278">
        <v>13898</v>
      </c>
      <c r="W115" s="279">
        <v>239</v>
      </c>
      <c r="X115" s="259">
        <v>43909</v>
      </c>
      <c r="Y115" s="69" t="s">
        <v>287</v>
      </c>
      <c r="Z115" s="165"/>
      <c r="AA115" s="69"/>
      <c r="AD115" s="69"/>
      <c r="AE115" s="69"/>
      <c r="AF115" s="69"/>
      <c r="AI115" s="69"/>
      <c r="AO115" s="69"/>
    </row>
    <row r="116" spans="3:63" x14ac:dyDescent="0.25">
      <c r="W116" s="277">
        <v>19551</v>
      </c>
      <c r="X116" s="280">
        <v>309</v>
      </c>
      <c r="Y116" s="158">
        <v>43910</v>
      </c>
      <c r="Z116" s="159" t="s">
        <v>173</v>
      </c>
      <c r="AA116" s="159"/>
      <c r="AB116" s="159"/>
      <c r="AC116" s="158">
        <v>43924</v>
      </c>
      <c r="AQ116" s="69"/>
      <c r="AR116" s="69"/>
      <c r="AS116" s="69"/>
      <c r="AT116" s="69"/>
    </row>
    <row r="117" spans="3:63" x14ac:dyDescent="0.25">
      <c r="W117" s="69"/>
      <c r="X117" s="278">
        <v>33840</v>
      </c>
      <c r="Y117" s="279">
        <v>509</v>
      </c>
      <c r="Z117" s="259">
        <v>43912</v>
      </c>
      <c r="AA117" s="69" t="s">
        <v>398</v>
      </c>
      <c r="AB117" s="69"/>
      <c r="AC117" s="165"/>
    </row>
    <row r="118" spans="3:63" x14ac:dyDescent="0.25">
      <c r="X118" s="278">
        <v>44189</v>
      </c>
      <c r="Y118" s="280">
        <v>689</v>
      </c>
      <c r="Z118" s="259">
        <v>43913</v>
      </c>
      <c r="AA118" s="69" t="s">
        <v>323</v>
      </c>
      <c r="AB118" s="69"/>
      <c r="AC118" s="165"/>
    </row>
    <row r="119" spans="3:63" x14ac:dyDescent="0.25">
      <c r="X119" s="277">
        <v>55398</v>
      </c>
      <c r="Y119" s="279">
        <v>957</v>
      </c>
      <c r="Z119" s="158">
        <v>43914</v>
      </c>
      <c r="AA119" s="159" t="s">
        <v>174</v>
      </c>
      <c r="AB119" s="159"/>
      <c r="AC119" s="158">
        <v>43928</v>
      </c>
      <c r="AE119" s="69"/>
      <c r="AF119" s="69"/>
    </row>
    <row r="120" spans="3:63" x14ac:dyDescent="0.25">
      <c r="X120" s="278">
        <v>55398</v>
      </c>
      <c r="Y120" s="280">
        <v>957</v>
      </c>
      <c r="Z120" s="259">
        <v>43914</v>
      </c>
      <c r="AA120" t="s">
        <v>236</v>
      </c>
      <c r="AE120" s="69"/>
      <c r="AF120" s="69"/>
    </row>
    <row r="121" spans="3:63" x14ac:dyDescent="0.25">
      <c r="C121" s="69"/>
      <c r="D121" s="69"/>
      <c r="E121" s="69"/>
      <c r="F121" s="69"/>
      <c r="G121" s="69"/>
      <c r="H121" s="69"/>
      <c r="I121" s="69"/>
      <c r="J121" s="69"/>
      <c r="K121" s="69"/>
      <c r="L121" s="69"/>
      <c r="M121" s="69"/>
      <c r="N121" s="69"/>
      <c r="O121" s="69"/>
      <c r="P121" s="69"/>
      <c r="Q121" s="69"/>
      <c r="R121" s="69"/>
      <c r="S121" s="69"/>
      <c r="T121" s="69"/>
      <c r="U121" s="69"/>
      <c r="V121" s="69"/>
      <c r="W121" s="69"/>
      <c r="X121" s="278">
        <v>55398</v>
      </c>
      <c r="Y121" s="280">
        <v>957</v>
      </c>
      <c r="Z121" s="165">
        <v>43914</v>
      </c>
      <c r="AA121" s="69" t="s">
        <v>295</v>
      </c>
      <c r="AB121" s="69"/>
      <c r="AC121" s="69"/>
      <c r="AD121" s="69"/>
      <c r="AE121" s="69"/>
      <c r="AF121" s="69"/>
      <c r="AG121" s="69"/>
      <c r="AH121" s="69"/>
    </row>
    <row r="122" spans="3:63" x14ac:dyDescent="0.25">
      <c r="C122" s="69"/>
      <c r="D122" s="69"/>
      <c r="E122" s="69"/>
      <c r="F122" s="69"/>
      <c r="G122" s="69"/>
      <c r="H122" s="69"/>
      <c r="I122" s="69"/>
      <c r="J122" s="69"/>
      <c r="K122" s="69"/>
      <c r="L122" s="69"/>
      <c r="M122" s="69"/>
      <c r="N122" s="69"/>
      <c r="O122" s="69"/>
      <c r="P122" s="69"/>
      <c r="Q122" s="69"/>
      <c r="R122" s="69"/>
      <c r="S122" s="69"/>
      <c r="T122" s="69"/>
      <c r="U122" s="69"/>
      <c r="V122" s="69"/>
      <c r="W122" s="69"/>
      <c r="Y122" s="278">
        <v>68905</v>
      </c>
      <c r="Z122" s="280">
        <v>1260</v>
      </c>
      <c r="AA122" s="165">
        <v>43915</v>
      </c>
      <c r="AB122" s="69" t="s">
        <v>397</v>
      </c>
      <c r="AC122" s="69"/>
      <c r="AD122" s="69"/>
      <c r="AE122" s="69"/>
      <c r="AF122" s="69"/>
      <c r="AG122" s="69"/>
      <c r="AH122" s="69"/>
    </row>
    <row r="123" spans="3:63" x14ac:dyDescent="0.25">
      <c r="C123" s="69"/>
      <c r="D123" s="69"/>
      <c r="E123" s="69"/>
      <c r="F123" s="69"/>
      <c r="G123" s="69"/>
      <c r="H123" s="69"/>
      <c r="I123" s="69"/>
      <c r="J123" s="69"/>
      <c r="K123" s="69"/>
      <c r="L123" s="69"/>
      <c r="M123" s="69"/>
      <c r="N123" s="69"/>
      <c r="O123" s="69"/>
      <c r="P123" s="69"/>
      <c r="Q123" s="69"/>
      <c r="R123" s="69"/>
      <c r="S123" s="69"/>
      <c r="T123" s="69"/>
      <c r="U123" s="69"/>
      <c r="V123" s="69"/>
      <c r="W123" s="69"/>
      <c r="X123" s="69"/>
      <c r="Y123" s="278">
        <v>105217</v>
      </c>
      <c r="Z123" s="280">
        <v>2110</v>
      </c>
      <c r="AA123" s="214">
        <v>43917</v>
      </c>
      <c r="AB123" s="214" t="s">
        <v>220</v>
      </c>
      <c r="AC123" s="69"/>
      <c r="AD123" s="69"/>
      <c r="AE123" s="69"/>
      <c r="AF123" s="69"/>
      <c r="AG123" s="69"/>
      <c r="AH123" s="69"/>
      <c r="AO123" s="69"/>
    </row>
    <row r="124" spans="3:63" x14ac:dyDescent="0.25">
      <c r="C124" s="69"/>
      <c r="D124" s="69"/>
      <c r="E124" s="69"/>
      <c r="F124" s="69"/>
      <c r="G124" s="69"/>
      <c r="H124" s="69"/>
      <c r="I124" s="69"/>
      <c r="J124" s="69"/>
      <c r="K124" s="69"/>
      <c r="L124" s="69"/>
      <c r="M124" s="69"/>
      <c r="N124" s="69"/>
      <c r="O124" s="69"/>
      <c r="P124" s="69"/>
      <c r="Q124" s="69"/>
      <c r="R124" s="69"/>
      <c r="S124" s="69"/>
      <c r="T124" s="69"/>
      <c r="U124" s="69"/>
      <c r="V124" s="69"/>
      <c r="W124" s="69"/>
      <c r="X124" s="69"/>
      <c r="Y124" s="278">
        <v>105217</v>
      </c>
      <c r="Z124" s="280">
        <v>2110</v>
      </c>
      <c r="AA124" s="259">
        <v>43917</v>
      </c>
      <c r="AB124" t="s">
        <v>247</v>
      </c>
      <c r="AC124" s="69"/>
      <c r="AD124" s="69"/>
      <c r="AE124" s="69"/>
      <c r="AF124" s="69"/>
      <c r="AG124" s="69"/>
      <c r="AH124" s="69"/>
      <c r="AO124" s="69"/>
    </row>
    <row r="125" spans="3:63" x14ac:dyDescent="0.25">
      <c r="C125" s="69"/>
      <c r="D125" s="69"/>
      <c r="E125" s="69"/>
      <c r="F125" s="69"/>
      <c r="G125" s="69"/>
      <c r="H125" s="69"/>
      <c r="I125" s="69"/>
      <c r="J125" s="69"/>
      <c r="K125" s="69"/>
      <c r="L125" s="69"/>
      <c r="M125" s="69"/>
      <c r="N125" s="69"/>
      <c r="O125" s="69"/>
      <c r="P125" s="69"/>
      <c r="Q125" s="69"/>
      <c r="R125" s="69"/>
      <c r="S125" s="69"/>
      <c r="T125" s="69"/>
      <c r="U125" s="69"/>
      <c r="V125" s="69"/>
      <c r="W125" s="69"/>
      <c r="X125" s="69"/>
      <c r="Y125" s="278">
        <v>105217</v>
      </c>
      <c r="Z125" s="280">
        <v>2110</v>
      </c>
      <c r="AA125" s="259">
        <v>43917</v>
      </c>
      <c r="AB125" t="s">
        <v>275</v>
      </c>
      <c r="AC125" s="69"/>
      <c r="AD125" s="69"/>
      <c r="AE125" s="69"/>
      <c r="AF125" s="69"/>
      <c r="AG125" s="69"/>
      <c r="AH125" s="69"/>
      <c r="AJ125" s="69"/>
      <c r="AK125" s="69"/>
      <c r="AL125" s="69"/>
      <c r="AM125" s="69"/>
      <c r="AN125" s="69"/>
      <c r="AO125" s="69"/>
      <c r="AU125" s="69"/>
      <c r="AV125" s="69"/>
      <c r="AW125" s="69"/>
      <c r="AX125" s="69"/>
      <c r="AY125" s="69"/>
      <c r="AZ125" s="69"/>
      <c r="BF125" s="69"/>
      <c r="BG125" s="69"/>
      <c r="BH125" s="69"/>
      <c r="BI125" s="69"/>
      <c r="BJ125" s="69"/>
      <c r="BK125" s="69"/>
    </row>
    <row r="126" spans="3:63" x14ac:dyDescent="0.25">
      <c r="C126" s="69"/>
      <c r="D126" s="69"/>
      <c r="E126" s="69"/>
      <c r="F126" s="69"/>
      <c r="G126" s="69"/>
      <c r="H126" s="69"/>
      <c r="I126" s="69"/>
      <c r="J126" s="69"/>
      <c r="K126" s="69"/>
      <c r="L126" s="69"/>
      <c r="M126" s="69"/>
      <c r="N126" s="69"/>
      <c r="O126" s="69"/>
      <c r="P126" s="69"/>
      <c r="Q126" s="69"/>
      <c r="R126" s="69"/>
      <c r="S126" s="69"/>
      <c r="T126" s="69"/>
      <c r="U126" s="69"/>
      <c r="V126" s="69"/>
      <c r="W126" s="69"/>
      <c r="X126" s="69"/>
      <c r="Y126" s="278">
        <v>105217</v>
      </c>
      <c r="Z126" s="280">
        <v>2110</v>
      </c>
      <c r="AA126" s="259">
        <v>43917</v>
      </c>
      <c r="AB126" t="s">
        <v>309</v>
      </c>
      <c r="AC126" s="69"/>
      <c r="AD126" s="69"/>
      <c r="AE126" s="69"/>
      <c r="AF126" s="69"/>
      <c r="AG126" s="69"/>
      <c r="AH126" s="69"/>
      <c r="AO126" s="69"/>
    </row>
    <row r="127" spans="3:63" x14ac:dyDescent="0.25">
      <c r="C127" s="69"/>
      <c r="D127" s="69"/>
      <c r="E127" s="69"/>
      <c r="F127" s="69"/>
      <c r="G127" s="69"/>
      <c r="H127" s="69"/>
      <c r="I127" s="69"/>
      <c r="J127" s="69"/>
      <c r="K127" s="69"/>
      <c r="L127" s="69"/>
      <c r="M127" s="69"/>
      <c r="N127" s="69"/>
      <c r="O127" s="69"/>
      <c r="P127" s="69"/>
      <c r="Q127" s="69"/>
      <c r="R127" s="69"/>
      <c r="S127" s="69"/>
      <c r="T127" s="69"/>
      <c r="U127" s="69"/>
      <c r="V127" s="69"/>
      <c r="W127" s="69"/>
      <c r="X127" s="69"/>
      <c r="Y127" s="35"/>
      <c r="Z127" s="277">
        <v>124788</v>
      </c>
      <c r="AA127" s="284">
        <v>2754</v>
      </c>
      <c r="AB127" s="283">
        <v>43918</v>
      </c>
      <c r="AC127" s="69" t="s">
        <v>523</v>
      </c>
      <c r="AD127" s="69"/>
      <c r="AE127" s="69"/>
      <c r="AF127" s="69"/>
      <c r="AG127" s="69"/>
      <c r="AH127" s="69"/>
      <c r="AO127" s="69"/>
    </row>
    <row r="128" spans="3:63" x14ac:dyDescent="0.25">
      <c r="X128" s="232"/>
      <c r="Y128" s="165"/>
      <c r="Z128" s="278">
        <v>124788</v>
      </c>
      <c r="AA128" s="280">
        <v>2754</v>
      </c>
      <c r="AB128" s="260">
        <v>43918</v>
      </c>
      <c r="AC128" t="s">
        <v>244</v>
      </c>
      <c r="AD128" s="69"/>
      <c r="AE128" s="69"/>
      <c r="AO128" s="69"/>
      <c r="BA128" s="69"/>
      <c r="BB128" s="69"/>
      <c r="BC128" s="69"/>
      <c r="BD128" s="69"/>
      <c r="BE128" s="69"/>
    </row>
    <row r="129" spans="3:58" x14ac:dyDescent="0.25">
      <c r="X129" s="232"/>
      <c r="Y129" s="165"/>
      <c r="Z129" s="278">
        <v>144980</v>
      </c>
      <c r="AA129" s="280">
        <v>3251</v>
      </c>
      <c r="AB129" s="283">
        <v>43919</v>
      </c>
      <c r="AC129" t="s">
        <v>522</v>
      </c>
      <c r="AD129" s="69"/>
      <c r="AE129" s="69"/>
      <c r="AO129" s="69"/>
      <c r="AP129" s="69"/>
      <c r="AQ129" s="69"/>
      <c r="AR129" s="69"/>
      <c r="AS129" s="69"/>
      <c r="AT129" s="69"/>
      <c r="BA129" s="69"/>
      <c r="BB129" s="69"/>
      <c r="BC129" s="69"/>
      <c r="BD129" s="69"/>
      <c r="BE129" s="69"/>
    </row>
    <row r="130" spans="3:58" x14ac:dyDescent="0.25">
      <c r="Z130" s="278">
        <v>168177</v>
      </c>
      <c r="AA130" s="280">
        <v>4066</v>
      </c>
      <c r="AB130" s="283">
        <v>43920</v>
      </c>
      <c r="AC130" t="s">
        <v>521</v>
      </c>
      <c r="AD130" s="69"/>
      <c r="AE130" s="69"/>
      <c r="AP130" s="69"/>
      <c r="AQ130" s="69"/>
      <c r="AR130" s="69"/>
      <c r="AS130" s="69"/>
      <c r="AT130" s="69"/>
      <c r="BA130" s="69"/>
      <c r="BB130" s="69"/>
      <c r="BC130" s="69"/>
      <c r="BD130" s="69"/>
      <c r="BE130" s="69"/>
    </row>
    <row r="131" spans="3:58" x14ac:dyDescent="0.25">
      <c r="Z131" s="278">
        <v>168177</v>
      </c>
      <c r="AA131" s="280">
        <v>4066</v>
      </c>
      <c r="AB131" s="259">
        <v>43920</v>
      </c>
      <c r="AC131" t="s">
        <v>250</v>
      </c>
      <c r="AD131" s="69"/>
      <c r="AE131" s="69"/>
      <c r="AP131" s="69"/>
      <c r="BA131" s="69"/>
      <c r="BB131" s="69"/>
      <c r="BC131" s="69"/>
      <c r="BD131" s="69"/>
      <c r="BE131" s="69"/>
    </row>
    <row r="132" spans="3:58" x14ac:dyDescent="0.25">
      <c r="Z132" s="278">
        <v>168177</v>
      </c>
      <c r="AA132" s="280">
        <v>4066</v>
      </c>
      <c r="AB132" s="259">
        <v>43920</v>
      </c>
      <c r="AC132" t="s">
        <v>322</v>
      </c>
      <c r="AD132" s="69"/>
      <c r="AE132" s="69"/>
      <c r="BA132" s="69"/>
      <c r="BB132" s="69"/>
      <c r="BC132" s="69"/>
      <c r="BD132" s="69"/>
      <c r="BE132" s="69"/>
    </row>
    <row r="133" spans="3:58" x14ac:dyDescent="0.25">
      <c r="Z133" s="278">
        <v>193353</v>
      </c>
      <c r="AA133" s="284">
        <v>5151</v>
      </c>
      <c r="AB133" s="283">
        <v>43921</v>
      </c>
      <c r="AC133" t="s">
        <v>524</v>
      </c>
      <c r="AD133" s="69"/>
      <c r="AE133" s="69"/>
      <c r="BA133" s="69"/>
      <c r="BB133" s="69"/>
      <c r="BC133" s="69"/>
      <c r="BD133" s="69"/>
      <c r="BE133" s="69"/>
    </row>
    <row r="134" spans="3:58" x14ac:dyDescent="0.25">
      <c r="Z134" s="278">
        <v>220295</v>
      </c>
      <c r="AA134" s="280">
        <v>6394</v>
      </c>
      <c r="AB134" s="150">
        <v>43922</v>
      </c>
      <c r="AC134" t="s">
        <v>519</v>
      </c>
      <c r="AD134" s="69"/>
      <c r="AE134" s="69"/>
      <c r="BA134" s="69"/>
      <c r="BB134" s="69"/>
      <c r="BC134" s="69"/>
      <c r="BD134" s="69"/>
      <c r="BE134" s="69"/>
    </row>
    <row r="135" spans="3:58" x14ac:dyDescent="0.25">
      <c r="Z135" s="278">
        <v>220295</v>
      </c>
      <c r="AA135" s="280">
        <v>6394</v>
      </c>
      <c r="AB135" s="311">
        <v>43922</v>
      </c>
      <c r="AC135" t="s">
        <v>520</v>
      </c>
      <c r="AD135" s="69"/>
      <c r="AE135" s="69"/>
      <c r="BA135" s="69"/>
      <c r="BB135" s="69"/>
      <c r="BC135" s="69"/>
      <c r="BD135" s="69"/>
      <c r="BE135" s="69"/>
    </row>
    <row r="136" spans="3:58" x14ac:dyDescent="0.25">
      <c r="AA136" s="277">
        <v>250708</v>
      </c>
      <c r="AB136" s="280">
        <v>7576</v>
      </c>
      <c r="AC136" s="259">
        <v>43923</v>
      </c>
      <c r="AD136" s="69" t="s">
        <v>303</v>
      </c>
      <c r="AE136" s="69"/>
      <c r="AF136" s="69"/>
      <c r="AG136" s="69"/>
      <c r="AI136" s="69"/>
      <c r="BA136" s="69"/>
      <c r="BB136" s="69"/>
      <c r="BC136" s="69"/>
      <c r="BD136" s="69"/>
      <c r="BE136" s="69"/>
    </row>
    <row r="137" spans="3:58" x14ac:dyDescent="0.25">
      <c r="AA137" s="278">
        <v>283477</v>
      </c>
      <c r="AB137" s="280">
        <v>8839</v>
      </c>
      <c r="AC137" s="158">
        <v>43924</v>
      </c>
      <c r="AD137" s="159" t="s">
        <v>221</v>
      </c>
      <c r="AE137" s="158">
        <v>43938</v>
      </c>
      <c r="AF137" s="69"/>
      <c r="AG137" s="69"/>
      <c r="AI137" s="69"/>
      <c r="AJ137" s="69"/>
      <c r="AK137" s="69"/>
      <c r="AL137" s="69"/>
      <c r="AM137" s="69"/>
      <c r="AN137" s="69"/>
      <c r="BA137" s="69"/>
      <c r="BB137" s="69"/>
      <c r="BC137" s="69"/>
      <c r="BD137" s="69"/>
      <c r="BE137" s="69"/>
    </row>
    <row r="138" spans="3:58" x14ac:dyDescent="0.25">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278">
        <v>317994</v>
      </c>
      <c r="AB138" s="279">
        <v>10384</v>
      </c>
      <c r="AC138" s="259">
        <v>43925</v>
      </c>
      <c r="AD138" t="s">
        <v>223</v>
      </c>
      <c r="AH138" s="69"/>
      <c r="AI138" s="69"/>
      <c r="AU138" s="69"/>
      <c r="AV138" s="69"/>
      <c r="AW138" s="69"/>
      <c r="AX138" s="69"/>
      <c r="AY138" s="69"/>
      <c r="AZ138" s="69"/>
      <c r="BA138" s="69"/>
      <c r="BB138" s="69"/>
      <c r="BC138" s="69"/>
      <c r="BD138" s="69"/>
      <c r="BE138" s="69"/>
    </row>
    <row r="139" spans="3:58" x14ac:dyDescent="0.25">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278">
        <v>343747</v>
      </c>
      <c r="AB139" s="280">
        <v>11793</v>
      </c>
      <c r="AC139" s="283">
        <v>43926</v>
      </c>
      <c r="AD139" t="s">
        <v>525</v>
      </c>
      <c r="AH139" s="69"/>
      <c r="AI139" s="69"/>
      <c r="AP139" s="69"/>
      <c r="AQ139" s="69"/>
      <c r="AR139" s="69"/>
      <c r="AS139" s="69"/>
      <c r="AT139" s="69"/>
      <c r="AU139" s="69"/>
      <c r="AV139" s="69"/>
      <c r="AW139" s="69"/>
      <c r="AX139" s="69"/>
      <c r="AY139" s="69"/>
      <c r="AZ139" s="69"/>
      <c r="BA139" s="69"/>
      <c r="BB139" s="69"/>
      <c r="BC139" s="69"/>
      <c r="BD139" s="69"/>
      <c r="BE139" s="69"/>
    </row>
    <row r="140" spans="3:58" x14ac:dyDescent="0.25">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278">
        <v>343747</v>
      </c>
      <c r="AB140" s="280">
        <v>11793</v>
      </c>
      <c r="AC140" s="165">
        <v>43926</v>
      </c>
      <c r="AD140" t="s">
        <v>324</v>
      </c>
      <c r="AH140" s="69"/>
      <c r="AI140" s="69"/>
      <c r="AP140" s="69"/>
      <c r="AQ140" s="69"/>
      <c r="AR140" s="69"/>
      <c r="AS140" s="69"/>
      <c r="AT140" s="69"/>
    </row>
    <row r="141" spans="3:58" x14ac:dyDescent="0.25">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278">
        <v>375348</v>
      </c>
      <c r="AB141" s="280">
        <v>13298</v>
      </c>
      <c r="AC141" s="283">
        <v>43927</v>
      </c>
      <c r="AD141" t="s">
        <v>526</v>
      </c>
      <c r="AH141" s="69"/>
      <c r="AI141" s="69"/>
      <c r="AP141" s="69"/>
      <c r="AQ141" s="69"/>
      <c r="AR141" s="69"/>
      <c r="AS141" s="69"/>
      <c r="AT141" s="69"/>
    </row>
    <row r="142" spans="3:58" x14ac:dyDescent="0.25">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278">
        <v>441569</v>
      </c>
      <c r="AB142" s="280">
        <v>17691</v>
      </c>
      <c r="AC142" s="311">
        <v>43929</v>
      </c>
      <c r="AD142" t="s">
        <v>510</v>
      </c>
      <c r="AH142" s="69"/>
      <c r="AI142" s="69"/>
      <c r="AP142" s="69"/>
      <c r="AQ142" s="69"/>
      <c r="AR142" s="69"/>
      <c r="AS142" s="69"/>
      <c r="AT142" s="69"/>
    </row>
    <row r="143" spans="3:58" x14ac:dyDescent="0.25">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278">
        <v>441569</v>
      </c>
      <c r="AB143" s="280">
        <v>17691</v>
      </c>
      <c r="AC143" s="311">
        <v>43929</v>
      </c>
      <c r="AD143" t="s">
        <v>551</v>
      </c>
      <c r="AH143" s="69"/>
      <c r="AI143" s="69"/>
      <c r="AP143" s="69"/>
      <c r="AQ143" s="69"/>
      <c r="AR143" s="69"/>
      <c r="AS143" s="69"/>
      <c r="AT143" s="69"/>
    </row>
    <row r="144" spans="3:58" x14ac:dyDescent="0.25">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277">
        <v>509604</v>
      </c>
      <c r="AB144" s="280">
        <v>22038</v>
      </c>
      <c r="AC144" s="311">
        <v>43931</v>
      </c>
      <c r="AD144" t="s">
        <v>518</v>
      </c>
      <c r="AH144" s="69"/>
      <c r="AI144" s="69"/>
      <c r="AP144" s="69"/>
      <c r="AQ144" s="69"/>
      <c r="AR144" s="69"/>
      <c r="AS144" s="69"/>
      <c r="AT144" s="69"/>
      <c r="BF144" s="69"/>
    </row>
    <row r="145" spans="3:63" x14ac:dyDescent="0.25">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278">
        <v>539942</v>
      </c>
      <c r="AC145" s="280">
        <v>24062</v>
      </c>
      <c r="AD145" s="259">
        <v>43932</v>
      </c>
      <c r="AE145" t="s">
        <v>232</v>
      </c>
      <c r="AH145" s="69"/>
      <c r="AI145" s="69"/>
      <c r="AP145" s="69"/>
      <c r="AQ145" s="69"/>
      <c r="AR145" s="69"/>
      <c r="AS145" s="69"/>
      <c r="AT145" s="69"/>
      <c r="BF145" s="69"/>
    </row>
    <row r="146" spans="3:63" x14ac:dyDescent="0.25">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278">
        <v>567708</v>
      </c>
      <c r="AC146" s="284">
        <v>25789</v>
      </c>
      <c r="AD146" s="283">
        <v>43933</v>
      </c>
      <c r="AE146" t="s">
        <v>527</v>
      </c>
      <c r="AH146" s="69"/>
      <c r="AI146" s="69"/>
      <c r="BF146" s="69"/>
      <c r="BG146" s="69"/>
      <c r="BH146" s="69"/>
      <c r="BI146" s="69"/>
      <c r="BJ146" s="69"/>
      <c r="BK146" s="69"/>
    </row>
    <row r="147" spans="3:63" x14ac:dyDescent="0.25">
      <c r="AB147" s="278">
        <v>594693</v>
      </c>
      <c r="AC147" s="280">
        <v>27515</v>
      </c>
      <c r="AD147" s="259">
        <v>43934</v>
      </c>
      <c r="AE147" t="s">
        <v>224</v>
      </c>
      <c r="BF147" s="69"/>
    </row>
    <row r="148" spans="3:63" x14ac:dyDescent="0.25">
      <c r="AB148" s="278">
        <v>621953</v>
      </c>
      <c r="AC148" s="280">
        <v>30081</v>
      </c>
      <c r="AD148" s="214">
        <v>43935</v>
      </c>
      <c r="AE148" t="s">
        <v>248</v>
      </c>
      <c r="AU148" s="69"/>
      <c r="AV148" s="69"/>
      <c r="AW148" s="69"/>
      <c r="AX148" s="69"/>
      <c r="AY148" s="69"/>
      <c r="AZ148" s="69"/>
      <c r="BF148" s="69"/>
    </row>
    <row r="149" spans="3:63" x14ac:dyDescent="0.25">
      <c r="AC149" s="278">
        <v>652474</v>
      </c>
      <c r="AD149" s="280">
        <v>32712</v>
      </c>
      <c r="AE149" s="259">
        <v>43936</v>
      </c>
      <c r="AF149" s="69" t="s">
        <v>249</v>
      </c>
      <c r="AO149" s="69"/>
      <c r="AU149" s="69"/>
      <c r="AV149" s="69"/>
      <c r="AW149" s="69"/>
      <c r="AX149" s="69"/>
      <c r="AY149" s="69"/>
      <c r="AZ149" s="69"/>
      <c r="BF149" s="69"/>
    </row>
    <row r="150" spans="3:63" x14ac:dyDescent="0.25">
      <c r="AC150" s="278">
        <v>652474</v>
      </c>
      <c r="AD150" s="280">
        <v>32712</v>
      </c>
      <c r="AE150" s="259">
        <v>43936</v>
      </c>
      <c r="AF150" t="s">
        <v>254</v>
      </c>
      <c r="AU150" s="69"/>
      <c r="AV150" s="69"/>
      <c r="AW150" s="69"/>
      <c r="AX150" s="69"/>
      <c r="AY150" s="69"/>
      <c r="AZ150" s="69"/>
      <c r="BF150" s="69"/>
    </row>
    <row r="151" spans="3:63" x14ac:dyDescent="0.25">
      <c r="AC151" s="278">
        <v>652474</v>
      </c>
      <c r="AD151" s="280">
        <v>32712</v>
      </c>
      <c r="AE151" s="259">
        <v>43936</v>
      </c>
      <c r="AF151" t="s">
        <v>252</v>
      </c>
      <c r="AI151" s="69"/>
      <c r="AU151" s="69"/>
      <c r="AV151" s="69"/>
      <c r="AW151" s="69"/>
      <c r="AX151" s="69"/>
      <c r="AY151" s="69"/>
      <c r="AZ151" s="69"/>
      <c r="BF151" s="69"/>
    </row>
    <row r="152" spans="3:63" x14ac:dyDescent="0.25">
      <c r="AC152" s="278">
        <v>652474</v>
      </c>
      <c r="AD152" s="280">
        <v>32712</v>
      </c>
      <c r="AE152" s="214">
        <v>43936</v>
      </c>
      <c r="AF152" t="s">
        <v>320</v>
      </c>
      <c r="AH152" s="214">
        <f>AE152+14</f>
        <v>43950</v>
      </c>
      <c r="AI152" s="69"/>
      <c r="AU152" s="69"/>
      <c r="AV152" s="69"/>
      <c r="AW152" s="69"/>
      <c r="AX152" s="69"/>
      <c r="AY152" s="69"/>
      <c r="AZ152" s="69"/>
      <c r="BF152" s="69"/>
    </row>
    <row r="153" spans="3:63" x14ac:dyDescent="0.25">
      <c r="AC153" s="278">
        <v>682454</v>
      </c>
      <c r="AD153" s="280">
        <v>34905</v>
      </c>
      <c r="AE153" s="259">
        <v>43937</v>
      </c>
      <c r="AF153" t="s">
        <v>294</v>
      </c>
      <c r="AU153" s="69"/>
      <c r="AV153" s="69"/>
      <c r="AW153" s="69"/>
      <c r="AX153" s="69"/>
      <c r="AY153" s="69"/>
      <c r="AZ153" s="69"/>
      <c r="BF153" s="69"/>
    </row>
    <row r="154" spans="3:63" s="69" customFormat="1" x14ac:dyDescent="0.25">
      <c r="C154"/>
      <c r="D154"/>
      <c r="E154"/>
      <c r="F154"/>
      <c r="G154"/>
      <c r="H154"/>
      <c r="I154"/>
      <c r="J154"/>
      <c r="K154"/>
      <c r="L154"/>
      <c r="M154"/>
      <c r="N154"/>
      <c r="O154"/>
      <c r="P154"/>
      <c r="Q154"/>
      <c r="R154"/>
      <c r="S154"/>
      <c r="T154"/>
      <c r="U154"/>
      <c r="V154"/>
      <c r="W154"/>
      <c r="X154"/>
      <c r="Y154"/>
      <c r="Z154"/>
      <c r="AA154"/>
      <c r="AB154"/>
      <c r="AC154" s="278">
        <v>714822</v>
      </c>
      <c r="AD154" s="280">
        <v>37448</v>
      </c>
      <c r="AE154" s="283">
        <v>43938</v>
      </c>
      <c r="AF154" t="s">
        <v>528</v>
      </c>
      <c r="AG154"/>
      <c r="AH154"/>
      <c r="AI154"/>
      <c r="AJ154"/>
      <c r="AK154"/>
      <c r="AL154"/>
      <c r="AM154"/>
      <c r="AN154"/>
      <c r="AO154"/>
      <c r="AP154"/>
      <c r="AQ154"/>
      <c r="AR154"/>
      <c r="AS154"/>
      <c r="AT154"/>
      <c r="BA154"/>
      <c r="BB154"/>
      <c r="BC154"/>
      <c r="BD154"/>
      <c r="BE154"/>
      <c r="BG154"/>
      <c r="BH154"/>
      <c r="BI154"/>
      <c r="BJ154"/>
      <c r="BK154"/>
    </row>
    <row r="155" spans="3:63" x14ac:dyDescent="0.25">
      <c r="AC155" s="278">
        <v>714822</v>
      </c>
      <c r="AD155" s="280">
        <v>37448</v>
      </c>
      <c r="AE155" s="259">
        <v>43938</v>
      </c>
      <c r="AF155" t="s">
        <v>251</v>
      </c>
      <c r="BF155" s="69"/>
    </row>
    <row r="156" spans="3:63" x14ac:dyDescent="0.25">
      <c r="AC156" s="278">
        <v>714822</v>
      </c>
      <c r="AD156" s="280">
        <v>37448</v>
      </c>
      <c r="AE156" s="259">
        <v>43938</v>
      </c>
      <c r="AF156" t="s">
        <v>352</v>
      </c>
      <c r="AJ156" s="69"/>
      <c r="AK156" s="69"/>
      <c r="AL156" s="69"/>
      <c r="AM156" s="69"/>
      <c r="AN156" s="69"/>
      <c r="AO156" s="69"/>
      <c r="AQ156" s="69"/>
      <c r="AR156" s="69"/>
      <c r="AS156" s="69"/>
      <c r="AT156" s="69"/>
      <c r="BA156" s="69"/>
      <c r="BB156" s="69"/>
      <c r="BC156" s="69"/>
      <c r="BD156" s="69"/>
      <c r="BE156" s="69"/>
    </row>
    <row r="157" spans="3:63" x14ac:dyDescent="0.25">
      <c r="AC157" s="278">
        <v>743901</v>
      </c>
      <c r="AD157" s="280">
        <v>39331</v>
      </c>
      <c r="AE157" s="283">
        <v>43939</v>
      </c>
      <c r="AF157" t="s">
        <v>529</v>
      </c>
      <c r="AJ157" s="69"/>
      <c r="AK157" s="69"/>
      <c r="AL157" s="69"/>
      <c r="AM157" s="69"/>
      <c r="AN157" s="69"/>
      <c r="AO157" s="69"/>
      <c r="AQ157" s="69"/>
      <c r="AR157" s="69"/>
      <c r="AS157" s="69"/>
      <c r="AT157" s="69"/>
    </row>
    <row r="158" spans="3:63" x14ac:dyDescent="0.25">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278">
        <v>743901</v>
      </c>
      <c r="AD158" s="280">
        <v>39331</v>
      </c>
      <c r="AE158" s="259">
        <v>43939</v>
      </c>
      <c r="AF158" s="69" t="s">
        <v>256</v>
      </c>
      <c r="AJ158" s="69"/>
      <c r="AK158" s="69"/>
      <c r="AL158" s="69"/>
      <c r="AM158" s="69"/>
      <c r="AN158" s="69"/>
      <c r="AQ158" s="69"/>
      <c r="AR158" s="69"/>
      <c r="AS158" s="69"/>
      <c r="AT158" s="69"/>
    </row>
    <row r="159" spans="3:63" x14ac:dyDescent="0.25">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278">
        <v>743901</v>
      </c>
      <c r="AD159" s="280">
        <v>39331</v>
      </c>
      <c r="AE159" s="259">
        <v>43939</v>
      </c>
      <c r="AF159" s="69" t="s">
        <v>361</v>
      </c>
      <c r="AJ159" s="69"/>
      <c r="AK159" s="69"/>
      <c r="AL159" s="69"/>
      <c r="AM159" s="69"/>
      <c r="AN159" s="69"/>
      <c r="AQ159" s="69"/>
      <c r="AR159" s="69"/>
      <c r="AS159" s="69"/>
      <c r="AT159" s="69"/>
    </row>
    <row r="160" spans="3:63" x14ac:dyDescent="0.25">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D160" s="278">
        <v>770014</v>
      </c>
      <c r="AE160" s="280">
        <v>40901</v>
      </c>
      <c r="AF160" s="259">
        <v>43940</v>
      </c>
      <c r="AG160" s="47" t="s">
        <v>503</v>
      </c>
      <c r="AJ160" s="69"/>
      <c r="AK160" s="69"/>
      <c r="AL160" s="69"/>
      <c r="AM160" s="69"/>
      <c r="AN160" s="69"/>
      <c r="AQ160" s="69"/>
      <c r="AR160" s="69"/>
      <c r="AS160" s="69"/>
      <c r="AT160" s="69"/>
    </row>
    <row r="161" spans="3:59" x14ac:dyDescent="0.25">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278">
        <v>798145</v>
      </c>
      <c r="AE161" s="280">
        <v>42853</v>
      </c>
      <c r="AF161" s="259">
        <v>43941</v>
      </c>
      <c r="AG161" s="69" t="s">
        <v>304</v>
      </c>
      <c r="AJ161" s="69"/>
      <c r="AK161" s="69"/>
      <c r="AL161" s="69"/>
      <c r="AM161" s="69"/>
      <c r="AN161" s="69"/>
    </row>
    <row r="162" spans="3:59" x14ac:dyDescent="0.25">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278">
        <v>798145</v>
      </c>
      <c r="AE162" s="280">
        <v>42853</v>
      </c>
      <c r="AF162" s="259">
        <v>43941</v>
      </c>
      <c r="AG162" s="69" t="s">
        <v>517</v>
      </c>
      <c r="AJ162" s="69"/>
      <c r="AK162" s="69"/>
      <c r="AL162" s="69"/>
      <c r="AM162" s="69"/>
      <c r="AN162" s="69"/>
    </row>
    <row r="163" spans="3:59" x14ac:dyDescent="0.25">
      <c r="AD163" s="278">
        <v>824229</v>
      </c>
      <c r="AE163" s="280">
        <v>45536</v>
      </c>
      <c r="AF163" s="214">
        <v>43942</v>
      </c>
      <c r="AG163" t="s">
        <v>293</v>
      </c>
      <c r="AH163" s="69"/>
      <c r="AI163" s="69"/>
      <c r="AJ163" s="69"/>
      <c r="AK163" s="69"/>
      <c r="AL163" s="69"/>
      <c r="AM163" s="69"/>
      <c r="AN163" s="69"/>
    </row>
    <row r="164" spans="3:59" x14ac:dyDescent="0.25">
      <c r="AD164" s="278">
        <v>854385</v>
      </c>
      <c r="AE164" s="280">
        <v>47894</v>
      </c>
      <c r="AF164" s="214">
        <v>43943</v>
      </c>
      <c r="AG164" t="s">
        <v>290</v>
      </c>
    </row>
    <row r="165" spans="3:59" x14ac:dyDescent="0.25">
      <c r="AD165" s="278">
        <v>854385</v>
      </c>
      <c r="AE165" s="280">
        <v>47894</v>
      </c>
      <c r="AF165" s="259">
        <v>43943</v>
      </c>
      <c r="AG165" s="69" t="s">
        <v>302</v>
      </c>
      <c r="AP165" s="69"/>
      <c r="AQ165" s="69"/>
      <c r="AR165" s="69"/>
      <c r="AS165" s="69"/>
      <c r="AT165" s="69"/>
      <c r="AU165" s="69"/>
      <c r="AV165" s="69"/>
      <c r="AW165" s="69"/>
      <c r="AX165" s="69"/>
      <c r="AY165" s="69"/>
      <c r="AZ165" s="69"/>
    </row>
    <row r="166" spans="3:59" x14ac:dyDescent="0.25">
      <c r="AD166" s="278">
        <v>854385</v>
      </c>
      <c r="AE166" s="280">
        <v>47894</v>
      </c>
      <c r="AF166" s="259">
        <v>43943</v>
      </c>
      <c r="AG166" t="s">
        <v>288</v>
      </c>
      <c r="AU166" s="69"/>
      <c r="AV166" s="69"/>
      <c r="AW166" s="69"/>
      <c r="AX166" s="69"/>
      <c r="AY166" s="69"/>
      <c r="AZ166" s="69"/>
      <c r="BG166" s="69"/>
    </row>
    <row r="167" spans="3:59" x14ac:dyDescent="0.25">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278">
        <v>886274</v>
      </c>
      <c r="AF167" s="279">
        <v>50234</v>
      </c>
      <c r="AG167" s="259">
        <v>43944</v>
      </c>
      <c r="AH167" t="s">
        <v>291</v>
      </c>
      <c r="AU167" s="69"/>
      <c r="AV167" s="69"/>
      <c r="AW167" s="69"/>
      <c r="AX167" s="69"/>
      <c r="AY167" s="69"/>
      <c r="AZ167" s="69"/>
      <c r="BG167" s="69"/>
    </row>
    <row r="168" spans="3:59" x14ac:dyDescent="0.25">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278">
        <v>886274</v>
      </c>
      <c r="AF168" s="280">
        <v>50234</v>
      </c>
      <c r="AG168" s="259">
        <v>43944</v>
      </c>
      <c r="AH168" t="s">
        <v>292</v>
      </c>
      <c r="AK168" s="69"/>
      <c r="AL168" s="69"/>
      <c r="AM168" s="69"/>
      <c r="AN168" s="69"/>
      <c r="AU168" s="69"/>
      <c r="AV168" s="69"/>
      <c r="AW168" s="69"/>
      <c r="AX168" s="69"/>
      <c r="AY168" s="69"/>
      <c r="AZ168" s="69"/>
      <c r="BG168" s="69"/>
    </row>
    <row r="169" spans="3:59" x14ac:dyDescent="0.25">
      <c r="AE169" s="278">
        <v>886274</v>
      </c>
      <c r="AF169" s="280">
        <v>50234</v>
      </c>
      <c r="AG169" s="214">
        <v>43944</v>
      </c>
      <c r="AH169" t="s">
        <v>319</v>
      </c>
      <c r="AK169" s="69"/>
      <c r="AL169" s="69"/>
      <c r="AM169" s="69"/>
      <c r="AN169" s="69"/>
      <c r="AU169" s="69"/>
      <c r="AV169" s="69"/>
      <c r="AW169" s="69"/>
      <c r="AX169" s="69"/>
      <c r="AY169" s="69"/>
      <c r="AZ169" s="69"/>
      <c r="BG169" s="69"/>
    </row>
    <row r="170" spans="3:59" x14ac:dyDescent="0.25">
      <c r="AE170" s="278">
        <v>925232</v>
      </c>
      <c r="AF170" s="280">
        <v>52191</v>
      </c>
      <c r="AG170" s="259">
        <v>43945</v>
      </c>
      <c r="AH170" t="s">
        <v>305</v>
      </c>
      <c r="BG170" s="69"/>
    </row>
    <row r="171" spans="3:59" x14ac:dyDescent="0.25">
      <c r="AE171" s="278">
        <v>925232</v>
      </c>
      <c r="AF171" s="280">
        <v>52191</v>
      </c>
      <c r="AG171" s="259">
        <v>43945</v>
      </c>
      <c r="AH171" t="s">
        <v>504</v>
      </c>
      <c r="BG171" s="69"/>
    </row>
    <row r="172" spans="3:59" x14ac:dyDescent="0.25">
      <c r="AE172" s="278">
        <v>925232</v>
      </c>
      <c r="AF172" s="280">
        <v>52191</v>
      </c>
      <c r="AG172" s="214">
        <v>43945</v>
      </c>
      <c r="AH172" s="69" t="s">
        <v>310</v>
      </c>
      <c r="AP172" s="69"/>
      <c r="AQ172" s="69"/>
      <c r="AR172" s="69"/>
      <c r="AS172" s="69"/>
      <c r="AT172" s="69"/>
      <c r="BF172" s="69"/>
      <c r="BG172" s="69"/>
    </row>
    <row r="173" spans="3:59" x14ac:dyDescent="0.25">
      <c r="AE173" s="278">
        <v>925232</v>
      </c>
      <c r="AF173" s="280">
        <v>52191</v>
      </c>
      <c r="AG173" s="214">
        <v>43945</v>
      </c>
      <c r="AH173" s="69" t="s">
        <v>395</v>
      </c>
      <c r="AP173" s="69"/>
      <c r="AQ173" s="69"/>
      <c r="AR173" s="69"/>
      <c r="AS173" s="69"/>
      <c r="AT173" s="69"/>
      <c r="BG173" s="69"/>
    </row>
    <row r="174" spans="3:59" x14ac:dyDescent="0.25">
      <c r="AE174" s="278">
        <v>925232</v>
      </c>
      <c r="AF174" s="280">
        <v>52191</v>
      </c>
      <c r="AG174" s="214">
        <v>43945</v>
      </c>
      <c r="AH174" s="69" t="s">
        <v>414</v>
      </c>
      <c r="AU174" s="69"/>
      <c r="AV174" s="69"/>
      <c r="AW174" s="69"/>
      <c r="AX174" s="69"/>
      <c r="AY174" s="69"/>
      <c r="AZ174" s="69"/>
      <c r="BG174" s="69"/>
    </row>
    <row r="175" spans="3:59" x14ac:dyDescent="0.25">
      <c r="AE175" s="278">
        <v>960651</v>
      </c>
      <c r="AF175" s="280">
        <v>54191</v>
      </c>
      <c r="AG175" s="165">
        <v>43946</v>
      </c>
      <c r="AH175" s="69" t="s">
        <v>307</v>
      </c>
      <c r="AO175" s="69"/>
      <c r="BG175" s="69"/>
    </row>
    <row r="176" spans="3:59" x14ac:dyDescent="0.25">
      <c r="AE176" s="278">
        <v>960651</v>
      </c>
      <c r="AF176" s="280">
        <v>54191</v>
      </c>
      <c r="AG176" s="260">
        <v>43946</v>
      </c>
      <c r="AH176" s="69" t="s">
        <v>313</v>
      </c>
      <c r="AO176" s="69"/>
      <c r="BG176" s="69"/>
    </row>
    <row r="177" spans="3:63" x14ac:dyDescent="0.25">
      <c r="AE177" s="278">
        <v>960651</v>
      </c>
      <c r="AF177" s="280">
        <v>54191</v>
      </c>
      <c r="AG177" s="260">
        <v>43946</v>
      </c>
      <c r="AH177" s="69" t="s">
        <v>312</v>
      </c>
      <c r="AO177" s="69"/>
      <c r="BA177" s="69"/>
      <c r="BB177" s="69"/>
      <c r="BC177" s="69"/>
      <c r="BD177" s="69"/>
      <c r="BE177" s="69"/>
      <c r="BG177" s="69"/>
    </row>
    <row r="178" spans="3:63" x14ac:dyDescent="0.25">
      <c r="AF178" s="277">
        <v>1010356</v>
      </c>
      <c r="AG178" s="280">
        <v>56795</v>
      </c>
      <c r="AH178" s="260">
        <v>43948</v>
      </c>
      <c r="AI178" t="s">
        <v>311</v>
      </c>
      <c r="AO178" s="69"/>
      <c r="BG178" s="69"/>
    </row>
    <row r="179" spans="3:63" x14ac:dyDescent="0.25">
      <c r="AF179" s="278">
        <v>1010356</v>
      </c>
      <c r="AG179" s="280">
        <v>56795</v>
      </c>
      <c r="AH179" s="259">
        <v>43948</v>
      </c>
      <c r="AI179" s="69" t="s">
        <v>301</v>
      </c>
      <c r="BG179" s="69"/>
      <c r="BH179" s="69"/>
      <c r="BI179" s="69"/>
      <c r="BJ179" s="69"/>
      <c r="BK179" s="69"/>
    </row>
    <row r="180" spans="3:63" s="69" customFormat="1" x14ac:dyDescent="0.25">
      <c r="C180"/>
      <c r="D180"/>
      <c r="E180"/>
      <c r="F180"/>
      <c r="G180"/>
      <c r="H180"/>
      <c r="I180"/>
      <c r="J180"/>
      <c r="K180"/>
      <c r="L180"/>
      <c r="M180"/>
      <c r="N180"/>
      <c r="O180"/>
      <c r="P180"/>
      <c r="Q180"/>
      <c r="R180"/>
      <c r="S180"/>
      <c r="T180"/>
      <c r="U180"/>
      <c r="V180"/>
      <c r="W180"/>
      <c r="X180"/>
      <c r="Y180"/>
      <c r="Z180"/>
      <c r="AA180"/>
      <c r="AB180"/>
      <c r="AC180"/>
      <c r="AD180"/>
      <c r="AF180" s="278">
        <v>1035765</v>
      </c>
      <c r="AG180" s="280">
        <v>59265</v>
      </c>
      <c r="AH180" s="189">
        <v>43949</v>
      </c>
      <c r="AI180" t="s">
        <v>530</v>
      </c>
      <c r="AJ180"/>
      <c r="AO180"/>
      <c r="AP180"/>
      <c r="AQ180"/>
      <c r="AR180"/>
      <c r="AS180"/>
      <c r="AT180"/>
      <c r="AU180"/>
      <c r="AV180"/>
      <c r="AW180"/>
      <c r="AX180"/>
      <c r="AY180"/>
      <c r="AZ180"/>
      <c r="BA180"/>
      <c r="BB180"/>
      <c r="BC180"/>
      <c r="BD180"/>
      <c r="BE180"/>
      <c r="BF180"/>
    </row>
    <row r="181" spans="3:63" x14ac:dyDescent="0.25">
      <c r="AF181" s="278">
        <v>1035765</v>
      </c>
      <c r="AG181" s="280">
        <v>59265</v>
      </c>
      <c r="AH181" s="259">
        <v>43949</v>
      </c>
      <c r="AI181" t="s">
        <v>308</v>
      </c>
      <c r="AJ181" s="69"/>
      <c r="AK181" s="69"/>
      <c r="AU181" s="69"/>
      <c r="AV181" s="69"/>
      <c r="AW181" s="69"/>
      <c r="AX181" s="69"/>
      <c r="AY181" s="69"/>
      <c r="AZ181" s="69"/>
      <c r="BH181" s="69"/>
      <c r="BI181" s="69"/>
      <c r="BJ181" s="69"/>
      <c r="BK181" s="69"/>
    </row>
    <row r="182" spans="3:63" x14ac:dyDescent="0.25">
      <c r="AF182" s="278">
        <v>1035765</v>
      </c>
      <c r="AG182" s="280">
        <v>59265</v>
      </c>
      <c r="AH182" s="214">
        <v>43949</v>
      </c>
      <c r="AI182" t="s">
        <v>318</v>
      </c>
      <c r="AU182" s="69"/>
      <c r="AV182" s="69"/>
      <c r="AW182" s="69"/>
      <c r="AX182" s="69"/>
      <c r="AY182" s="69"/>
      <c r="AZ182" s="69"/>
      <c r="BH182" s="69"/>
      <c r="BI182" s="69"/>
      <c r="BJ182" s="69"/>
      <c r="BK182" s="69"/>
    </row>
    <row r="183" spans="3:63" x14ac:dyDescent="0.25">
      <c r="AF183" s="278">
        <v>1064194</v>
      </c>
      <c r="AG183" s="280">
        <v>61655</v>
      </c>
      <c r="AH183" s="189">
        <v>43950</v>
      </c>
      <c r="AI183" t="s">
        <v>531</v>
      </c>
      <c r="BH183" s="69"/>
      <c r="BI183" s="69"/>
      <c r="BJ183" s="69"/>
      <c r="BK183" s="69"/>
    </row>
    <row r="184" spans="3:63" x14ac:dyDescent="0.25">
      <c r="AF184" s="278">
        <v>1064194</v>
      </c>
      <c r="AG184" s="280">
        <v>61655</v>
      </c>
      <c r="AH184" s="259">
        <v>43950</v>
      </c>
      <c r="AI184" t="s">
        <v>516</v>
      </c>
      <c r="BH184" s="69"/>
      <c r="BI184" s="69"/>
      <c r="BJ184" s="69"/>
      <c r="BK184" s="69"/>
    </row>
    <row r="185" spans="3:63" x14ac:dyDescent="0.25">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278">
        <v>1095023</v>
      </c>
      <c r="AG185" s="280">
        <v>63856</v>
      </c>
      <c r="AH185" s="259">
        <v>43951</v>
      </c>
      <c r="AI185" t="s">
        <v>314</v>
      </c>
      <c r="AL185" s="69"/>
      <c r="AM185" s="69"/>
      <c r="AN185" s="69"/>
      <c r="BH185" s="69"/>
      <c r="BI185" s="69"/>
      <c r="BJ185" s="69"/>
      <c r="BK185" s="69"/>
    </row>
    <row r="186" spans="3:63" x14ac:dyDescent="0.25">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c r="AD186" s="69"/>
      <c r="AE186" s="69"/>
      <c r="AF186" s="278">
        <v>1095023</v>
      </c>
      <c r="AG186" s="280">
        <v>63856</v>
      </c>
      <c r="AH186" s="259">
        <v>43951</v>
      </c>
      <c r="AI186" t="s">
        <v>315</v>
      </c>
      <c r="AJ186" s="69"/>
      <c r="AK186" s="69"/>
      <c r="AL186" s="69"/>
      <c r="AM186" s="69"/>
      <c r="AN186" s="69"/>
      <c r="AO186" s="69"/>
      <c r="BH186" s="69"/>
      <c r="BI186" s="69"/>
      <c r="BJ186" s="69"/>
      <c r="BK186" s="69"/>
    </row>
    <row r="187" spans="3:63" x14ac:dyDescent="0.25">
      <c r="AF187" s="278">
        <v>1095023</v>
      </c>
      <c r="AG187" s="280">
        <v>63856</v>
      </c>
      <c r="AH187" s="214">
        <v>43951</v>
      </c>
      <c r="AI187" t="s">
        <v>317</v>
      </c>
      <c r="AJ187" s="69"/>
      <c r="AK187" s="69"/>
      <c r="AO187" s="69"/>
      <c r="BH187" s="69"/>
      <c r="BI187" s="69"/>
      <c r="BJ187" s="69"/>
      <c r="BK187" s="69"/>
    </row>
    <row r="188" spans="3:63" x14ac:dyDescent="0.25">
      <c r="AF188" s="278">
        <v>1095023</v>
      </c>
      <c r="AG188" s="280">
        <v>63856</v>
      </c>
      <c r="AH188" s="165">
        <v>43951</v>
      </c>
      <c r="AI188" s="69" t="s">
        <v>316</v>
      </c>
      <c r="BA188" s="69"/>
      <c r="BB188" s="69"/>
      <c r="BC188" s="69"/>
      <c r="BD188" s="69"/>
      <c r="BE188" s="69"/>
      <c r="BH188" s="69"/>
      <c r="BI188" s="69"/>
      <c r="BJ188" s="69"/>
      <c r="BK188" s="69"/>
    </row>
    <row r="189" spans="3:63" x14ac:dyDescent="0.25">
      <c r="AF189" s="278">
        <v>1095023</v>
      </c>
      <c r="AG189" s="280">
        <v>63856</v>
      </c>
      <c r="AH189" s="259">
        <v>43951</v>
      </c>
      <c r="AI189" s="69" t="s">
        <v>345</v>
      </c>
      <c r="BA189" s="69"/>
      <c r="BB189" s="69"/>
      <c r="BC189" s="69"/>
      <c r="BD189" s="69"/>
      <c r="BE189" s="69"/>
      <c r="BH189" s="69"/>
      <c r="BI189" s="69"/>
      <c r="BJ189" s="69"/>
      <c r="BK189" s="69"/>
    </row>
    <row r="190" spans="3:63" x14ac:dyDescent="0.25">
      <c r="AF190" s="278">
        <v>1095023</v>
      </c>
      <c r="AG190" s="280">
        <v>63856</v>
      </c>
      <c r="AH190" s="214">
        <v>43951</v>
      </c>
      <c r="AI190" s="69" t="s">
        <v>337</v>
      </c>
      <c r="AJ190" s="69"/>
      <c r="AK190" s="69"/>
      <c r="BA190" s="69"/>
      <c r="BB190" s="69"/>
      <c r="BC190" s="69"/>
      <c r="BD190" s="69"/>
      <c r="BE190" s="69"/>
      <c r="BH190" s="69"/>
      <c r="BI190" s="69"/>
      <c r="BJ190" s="69"/>
      <c r="BK190" s="69"/>
    </row>
    <row r="191" spans="3:63" x14ac:dyDescent="0.25">
      <c r="AF191" s="278">
        <v>1131030</v>
      </c>
      <c r="AG191" s="280">
        <v>65753</v>
      </c>
      <c r="AH191" s="214">
        <v>43952</v>
      </c>
      <c r="AI191" t="s">
        <v>321</v>
      </c>
      <c r="AP191" s="69"/>
      <c r="AQ191" s="69"/>
      <c r="AR191" s="69"/>
      <c r="AS191" s="69"/>
      <c r="AT191" s="69"/>
      <c r="BA191" s="69"/>
      <c r="BB191" s="69"/>
      <c r="BC191" s="69"/>
      <c r="BD191" s="69"/>
      <c r="BE191" s="69"/>
      <c r="BH191" s="69"/>
      <c r="BI191" s="69"/>
      <c r="BJ191" s="69"/>
      <c r="BK191" s="69"/>
    </row>
    <row r="192" spans="3:63" x14ac:dyDescent="0.25">
      <c r="AF192" s="278">
        <v>1131030</v>
      </c>
      <c r="AG192" s="280">
        <v>65753</v>
      </c>
      <c r="AH192" s="259">
        <v>43952</v>
      </c>
      <c r="AI192" t="s">
        <v>514</v>
      </c>
      <c r="AP192" s="69"/>
      <c r="AQ192" s="69"/>
      <c r="AR192" s="69"/>
      <c r="AS192" s="69"/>
      <c r="AT192" s="69"/>
      <c r="BA192" s="69"/>
      <c r="BB192" s="69"/>
      <c r="BC192" s="69"/>
      <c r="BD192" s="69"/>
      <c r="BE192" s="69"/>
      <c r="BH192" s="69"/>
      <c r="BI192" s="69"/>
      <c r="BJ192" s="69"/>
      <c r="BK192" s="69"/>
    </row>
    <row r="193" spans="3:63" x14ac:dyDescent="0.25">
      <c r="AF193" s="278">
        <v>1188122</v>
      </c>
      <c r="AG193" s="280">
        <v>68597</v>
      </c>
      <c r="AH193" s="214">
        <v>43954</v>
      </c>
      <c r="AI193" t="s">
        <v>515</v>
      </c>
      <c r="AJ193" s="69"/>
      <c r="AK193" s="69"/>
      <c r="AP193" s="69"/>
      <c r="AQ193" s="69"/>
      <c r="AR193" s="69"/>
      <c r="AS193" s="69"/>
      <c r="AT193" s="69"/>
      <c r="BF193" s="69"/>
      <c r="BG193" s="69"/>
      <c r="BH193" s="69"/>
      <c r="BI193" s="69"/>
      <c r="BJ193" s="69"/>
      <c r="BK193" s="69"/>
    </row>
    <row r="194" spans="3:63" x14ac:dyDescent="0.25">
      <c r="AF194" s="278">
        <v>1212835</v>
      </c>
      <c r="AG194" s="280">
        <v>69921</v>
      </c>
      <c r="AH194" s="259">
        <v>43955</v>
      </c>
      <c r="AI194" t="s">
        <v>513</v>
      </c>
      <c r="AJ194" s="69"/>
      <c r="AK194" s="69"/>
      <c r="AP194" s="69"/>
      <c r="AQ194" s="69"/>
      <c r="AR194" s="69"/>
      <c r="AS194" s="69"/>
      <c r="AT194" s="69"/>
      <c r="BH194" s="69"/>
      <c r="BI194" s="69"/>
      <c r="BJ194" s="69"/>
      <c r="BK194" s="69"/>
    </row>
    <row r="195" spans="3:63" x14ac:dyDescent="0.25">
      <c r="AF195" s="278">
        <v>1237633</v>
      </c>
      <c r="AG195" s="280">
        <v>72271</v>
      </c>
      <c r="AH195" s="214">
        <v>43956</v>
      </c>
      <c r="AI195" t="s">
        <v>331</v>
      </c>
      <c r="AJ195" s="69"/>
      <c r="AK195" s="69"/>
      <c r="AQ195" s="214"/>
      <c r="AR195" s="214"/>
      <c r="AS195" s="214"/>
      <c r="AT195" s="214"/>
      <c r="BH195" s="69"/>
      <c r="BI195" s="69"/>
      <c r="BJ195" s="69"/>
      <c r="BK195" s="69"/>
    </row>
    <row r="196" spans="3:63" x14ac:dyDescent="0.25">
      <c r="AF196" s="278">
        <v>1237633</v>
      </c>
      <c r="AG196" s="280">
        <v>72271</v>
      </c>
      <c r="AH196" s="214">
        <v>43956</v>
      </c>
      <c r="AI196" t="s">
        <v>368</v>
      </c>
      <c r="AJ196" s="69"/>
      <c r="AK196" s="69"/>
      <c r="BH196" s="69"/>
      <c r="BI196" s="69"/>
      <c r="BJ196" s="69"/>
      <c r="BK196" s="69"/>
    </row>
    <row r="197" spans="3:63" x14ac:dyDescent="0.25">
      <c r="AF197" s="278">
        <v>1237633</v>
      </c>
      <c r="AG197" s="280">
        <v>72271</v>
      </c>
      <c r="AH197" s="214">
        <v>43956</v>
      </c>
      <c r="AI197" t="s">
        <v>330</v>
      </c>
      <c r="BH197" s="69"/>
      <c r="BI197" s="69"/>
      <c r="BJ197" s="69"/>
      <c r="BK197" s="69"/>
    </row>
    <row r="198" spans="3:63" x14ac:dyDescent="0.25">
      <c r="AF198" s="278">
        <v>1237633</v>
      </c>
      <c r="AG198" s="280">
        <v>72271</v>
      </c>
      <c r="AH198" s="259">
        <v>43956</v>
      </c>
      <c r="AI198" t="s">
        <v>329</v>
      </c>
      <c r="BH198" s="69"/>
      <c r="BI198" s="69"/>
      <c r="BJ198" s="69"/>
      <c r="BK198" s="69"/>
    </row>
    <row r="199" spans="3:63" x14ac:dyDescent="0.25">
      <c r="AG199" s="278">
        <v>1292623</v>
      </c>
      <c r="AH199" s="280">
        <v>76928</v>
      </c>
      <c r="AI199" s="259">
        <v>43958</v>
      </c>
      <c r="AJ199" t="s">
        <v>338</v>
      </c>
      <c r="BG199" s="69"/>
    </row>
    <row r="200" spans="3:63" x14ac:dyDescent="0.25">
      <c r="AG200" s="278">
        <v>1321785</v>
      </c>
      <c r="AH200" s="280">
        <v>78615</v>
      </c>
      <c r="AI200" s="214">
        <v>43959</v>
      </c>
      <c r="AJ200" t="s">
        <v>359</v>
      </c>
      <c r="AU200" s="69"/>
      <c r="AV200" s="69"/>
      <c r="AW200" s="69"/>
      <c r="AX200" s="69"/>
      <c r="AY200" s="69"/>
      <c r="AZ200" s="69"/>
      <c r="BG200" s="69"/>
    </row>
    <row r="201" spans="3:63" x14ac:dyDescent="0.25">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278">
        <v>1321785</v>
      </c>
      <c r="AH201" s="280">
        <v>78615</v>
      </c>
      <c r="AI201" s="259">
        <v>43959</v>
      </c>
      <c r="AJ201" s="69" t="s">
        <v>335</v>
      </c>
      <c r="AK201" s="69"/>
      <c r="AL201" s="69"/>
      <c r="AM201" s="69"/>
      <c r="AN201" s="69"/>
      <c r="AO201" s="69"/>
      <c r="AU201" s="69"/>
      <c r="AV201" s="69"/>
      <c r="AW201" s="69"/>
      <c r="AX201" s="69"/>
      <c r="AY201" s="69"/>
      <c r="AZ201" s="69"/>
      <c r="BA201" s="69"/>
      <c r="BB201" s="69"/>
      <c r="BC201" s="69"/>
      <c r="BD201" s="69"/>
      <c r="BE201" s="69"/>
      <c r="BG201" s="69"/>
    </row>
    <row r="202" spans="3:63" x14ac:dyDescent="0.25">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278">
        <v>1321785</v>
      </c>
      <c r="AH202" s="280">
        <v>78615</v>
      </c>
      <c r="AI202" s="165">
        <v>43959</v>
      </c>
      <c r="AJ202" s="69" t="s">
        <v>332</v>
      </c>
      <c r="AM202" s="69"/>
      <c r="AN202" s="69"/>
      <c r="AO202" s="69"/>
      <c r="AP202" s="69"/>
      <c r="AQ202" s="69"/>
      <c r="AR202" s="69"/>
      <c r="AS202" s="69"/>
      <c r="AT202" s="69"/>
      <c r="AU202" s="69"/>
      <c r="AV202" s="69"/>
      <c r="AW202" s="69"/>
      <c r="AX202" s="69"/>
      <c r="AY202" s="69"/>
      <c r="AZ202" s="69"/>
    </row>
    <row r="203" spans="3:63" x14ac:dyDescent="0.25">
      <c r="AG203" s="278">
        <v>1321785</v>
      </c>
      <c r="AH203" s="280">
        <v>78615</v>
      </c>
      <c r="AI203" s="214">
        <v>43959</v>
      </c>
      <c r="AJ203" s="69" t="s">
        <v>336</v>
      </c>
      <c r="AP203" s="69"/>
      <c r="AQ203" s="69"/>
      <c r="AR203" s="69"/>
      <c r="AS203" s="69"/>
      <c r="AT203" s="69"/>
      <c r="AU203" s="69"/>
      <c r="AV203" s="69"/>
      <c r="AW203" s="69"/>
      <c r="AX203" s="69"/>
      <c r="AY203" s="69"/>
      <c r="AZ203" s="69"/>
    </row>
    <row r="204" spans="3:63" x14ac:dyDescent="0.25">
      <c r="D204" s="69"/>
      <c r="E204" s="69"/>
      <c r="F204" s="69"/>
      <c r="G204" s="69"/>
      <c r="H204" s="69"/>
      <c r="I204" s="69"/>
      <c r="J204" s="69"/>
      <c r="K204" s="69"/>
      <c r="L204" s="69"/>
      <c r="M204" s="69"/>
      <c r="N204" s="69"/>
      <c r="O204" s="69"/>
      <c r="P204" s="69"/>
      <c r="Q204" s="69"/>
      <c r="R204" s="165"/>
      <c r="S204" s="69"/>
      <c r="T204" s="69"/>
      <c r="U204" s="69"/>
      <c r="AG204" s="278">
        <v>1321785</v>
      </c>
      <c r="AH204" s="280">
        <v>78615</v>
      </c>
      <c r="AI204" s="214">
        <v>43959</v>
      </c>
      <c r="AJ204" s="69" t="s">
        <v>342</v>
      </c>
      <c r="AU204" s="214"/>
      <c r="BF204" s="69"/>
    </row>
    <row r="205" spans="3:63" x14ac:dyDescent="0.25">
      <c r="D205" s="69"/>
      <c r="E205" s="69"/>
      <c r="F205" s="69"/>
      <c r="G205" s="69"/>
      <c r="H205" s="69"/>
      <c r="I205" s="69"/>
      <c r="J205" s="69"/>
      <c r="K205" s="69"/>
      <c r="L205" s="69"/>
      <c r="M205" s="69"/>
      <c r="N205" s="69"/>
      <c r="O205" s="69"/>
      <c r="P205" s="69"/>
      <c r="Q205" s="69"/>
      <c r="R205" s="165"/>
      <c r="S205" s="69"/>
      <c r="T205" s="69"/>
      <c r="U205" s="69"/>
      <c r="AG205" s="278">
        <v>1347309</v>
      </c>
      <c r="AH205" s="280">
        <v>80037</v>
      </c>
      <c r="AI205" s="214">
        <v>43960</v>
      </c>
      <c r="AJ205" s="69" t="s">
        <v>358</v>
      </c>
      <c r="BF205" s="69"/>
    </row>
    <row r="206" spans="3:63" x14ac:dyDescent="0.25">
      <c r="D206" s="69"/>
      <c r="E206" s="69"/>
      <c r="F206" s="69"/>
      <c r="G206" s="69"/>
      <c r="H206" s="69"/>
      <c r="I206" s="69"/>
      <c r="J206" s="69"/>
      <c r="K206" s="69"/>
      <c r="L206" s="69"/>
      <c r="M206" s="69"/>
      <c r="N206" s="69"/>
      <c r="O206" s="69"/>
      <c r="P206" s="69"/>
      <c r="Q206" s="69"/>
      <c r="R206" s="165"/>
      <c r="S206" s="69"/>
      <c r="T206" s="69"/>
      <c r="U206" s="69"/>
      <c r="AG206" s="278">
        <v>1347309</v>
      </c>
      <c r="AH206" s="280">
        <v>80037</v>
      </c>
      <c r="AI206" s="214">
        <v>43960</v>
      </c>
      <c r="AJ206" s="69" t="s">
        <v>333</v>
      </c>
      <c r="BA206" s="69"/>
      <c r="BB206" s="69"/>
      <c r="BC206" s="69"/>
      <c r="BD206" s="69"/>
      <c r="BE206" s="69"/>
      <c r="BF206" s="69"/>
    </row>
    <row r="207" spans="3:63" x14ac:dyDescent="0.25">
      <c r="C207" s="69"/>
      <c r="D207" s="69"/>
      <c r="E207" s="69"/>
      <c r="F207" s="69"/>
      <c r="G207" s="69"/>
      <c r="H207" s="69"/>
      <c r="I207" s="69"/>
      <c r="J207" s="69"/>
      <c r="K207" s="69"/>
      <c r="L207" s="69"/>
      <c r="M207" s="69"/>
      <c r="N207" s="69"/>
      <c r="O207" s="69"/>
      <c r="P207" s="69"/>
      <c r="Q207" s="69"/>
      <c r="R207" s="165"/>
      <c r="S207" s="69"/>
      <c r="T207" s="69"/>
      <c r="U207" s="69"/>
      <c r="V207" s="69"/>
      <c r="W207" s="69"/>
      <c r="AB207" s="69"/>
      <c r="AC207" s="69"/>
      <c r="AD207" s="69"/>
      <c r="AE207" s="69"/>
      <c r="AF207" s="69"/>
      <c r="AG207" s="278">
        <v>1347309</v>
      </c>
      <c r="AH207" s="280">
        <v>80037</v>
      </c>
      <c r="AI207" s="259">
        <v>43960</v>
      </c>
      <c r="AJ207" s="69" t="s">
        <v>341</v>
      </c>
      <c r="AM207" s="69"/>
      <c r="AN207" s="69"/>
      <c r="AO207" s="69"/>
      <c r="BF207" s="69"/>
    </row>
    <row r="208" spans="3:63" x14ac:dyDescent="0.25">
      <c r="AG208" s="278">
        <v>1347309</v>
      </c>
      <c r="AH208" s="280">
        <v>80037</v>
      </c>
      <c r="AI208" s="214">
        <v>43960</v>
      </c>
      <c r="AJ208" s="69" t="s">
        <v>334</v>
      </c>
      <c r="BF208" s="69"/>
    </row>
    <row r="209" spans="3:63" x14ac:dyDescent="0.25">
      <c r="AG209" s="278">
        <v>1367638</v>
      </c>
      <c r="AH209" s="280">
        <v>80787</v>
      </c>
      <c r="AI209" s="214">
        <v>43961</v>
      </c>
      <c r="AJ209" s="69" t="s">
        <v>339</v>
      </c>
    </row>
    <row r="210" spans="3:63" x14ac:dyDescent="0.25">
      <c r="AG210" s="278">
        <v>1367638</v>
      </c>
      <c r="AH210" s="280">
        <v>80787</v>
      </c>
      <c r="AI210" s="259">
        <v>43961</v>
      </c>
      <c r="AJ210" s="69" t="s">
        <v>340</v>
      </c>
    </row>
    <row r="211" spans="3:63" x14ac:dyDescent="0.25">
      <c r="AG211" s="278">
        <v>1385834</v>
      </c>
      <c r="AH211" s="280">
        <v>81795</v>
      </c>
      <c r="AI211" s="214">
        <v>43962</v>
      </c>
      <c r="AJ211" s="69" t="s">
        <v>343</v>
      </c>
      <c r="AU211" s="69"/>
      <c r="AV211" s="69"/>
      <c r="AW211" s="69"/>
      <c r="AX211" s="69"/>
      <c r="AY211" s="69"/>
      <c r="AZ211" s="69"/>
    </row>
    <row r="212" spans="3:63" x14ac:dyDescent="0.25">
      <c r="AG212" s="278">
        <v>1385834</v>
      </c>
      <c r="AH212" s="280">
        <v>81795</v>
      </c>
      <c r="AI212" s="259">
        <v>43962</v>
      </c>
      <c r="AJ212" s="69" t="s">
        <v>344</v>
      </c>
      <c r="AU212" s="69"/>
      <c r="AV212" s="69"/>
      <c r="AW212" s="69"/>
      <c r="AX212" s="69"/>
      <c r="AY212" s="69"/>
      <c r="AZ212" s="69"/>
    </row>
    <row r="213" spans="3:63" x14ac:dyDescent="0.25">
      <c r="AG213" s="278">
        <v>1385834</v>
      </c>
      <c r="AH213" s="280">
        <v>81795</v>
      </c>
      <c r="AI213" s="259">
        <v>43962</v>
      </c>
      <c r="AJ213" s="69" t="s">
        <v>547</v>
      </c>
    </row>
    <row r="214" spans="3:63" x14ac:dyDescent="0.25">
      <c r="AG214" s="278">
        <v>1385834</v>
      </c>
      <c r="AH214" s="280">
        <v>81795</v>
      </c>
      <c r="AI214" s="165">
        <v>43962</v>
      </c>
      <c r="AJ214" s="69" t="s">
        <v>349</v>
      </c>
      <c r="BA214" s="69"/>
      <c r="BB214" s="69"/>
      <c r="BC214" s="69"/>
      <c r="BD214" s="69"/>
      <c r="BE214" s="69"/>
    </row>
    <row r="215" spans="3:63" x14ac:dyDescent="0.25">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278">
        <v>1385834</v>
      </c>
      <c r="AH215" s="280">
        <v>81795</v>
      </c>
      <c r="AI215" s="165">
        <v>43962</v>
      </c>
      <c r="AJ215" s="69" t="s">
        <v>347</v>
      </c>
      <c r="AK215" s="69"/>
      <c r="AL215" s="69"/>
      <c r="AM215" s="69"/>
      <c r="AN215" s="69"/>
      <c r="AO215" s="69"/>
    </row>
    <row r="216" spans="3:63" x14ac:dyDescent="0.25">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278">
        <v>1385834</v>
      </c>
      <c r="AH216" s="280">
        <v>81795</v>
      </c>
      <c r="AI216" s="259">
        <v>43962</v>
      </c>
      <c r="AJ216" s="69" t="s">
        <v>348</v>
      </c>
      <c r="AK216" s="69"/>
      <c r="AL216" s="69"/>
      <c r="AM216" s="69"/>
      <c r="AN216" s="69"/>
      <c r="AO216" s="69"/>
    </row>
    <row r="217" spans="3:63" x14ac:dyDescent="0.25">
      <c r="AG217" s="278">
        <v>1408636</v>
      </c>
      <c r="AH217" s="280">
        <v>83425</v>
      </c>
      <c r="AI217" s="259">
        <v>43963</v>
      </c>
      <c r="AJ217" t="s">
        <v>346</v>
      </c>
      <c r="AP217" s="69"/>
      <c r="AQ217" s="69"/>
      <c r="AR217" s="69"/>
      <c r="AS217" s="69"/>
      <c r="AT217" s="69"/>
      <c r="BF217" s="69"/>
    </row>
    <row r="218" spans="3:63" s="69" customFormat="1" x14ac:dyDescent="0.25">
      <c r="C218"/>
      <c r="D218"/>
      <c r="E218"/>
      <c r="F218"/>
      <c r="G218"/>
      <c r="H218"/>
      <c r="I218"/>
      <c r="J218"/>
      <c r="K218"/>
      <c r="L218"/>
      <c r="M218"/>
      <c r="N218"/>
      <c r="O218"/>
      <c r="P218"/>
      <c r="Q218"/>
      <c r="R218"/>
      <c r="S218"/>
      <c r="T218"/>
      <c r="U218"/>
      <c r="V218"/>
      <c r="W218"/>
      <c r="X218"/>
      <c r="Y218"/>
      <c r="Z218"/>
      <c r="AA218"/>
      <c r="AB218"/>
      <c r="AC218"/>
      <c r="AD218"/>
      <c r="AE218"/>
      <c r="AF218"/>
      <c r="AG218" s="278">
        <v>1430347</v>
      </c>
      <c r="AH218" s="280">
        <v>85197</v>
      </c>
      <c r="AI218" s="259">
        <v>43964</v>
      </c>
      <c r="AJ218" t="s">
        <v>350</v>
      </c>
      <c r="AK218"/>
      <c r="AL218"/>
      <c r="AM218"/>
      <c r="AN218"/>
      <c r="AO218"/>
      <c r="AU218"/>
      <c r="AV218"/>
      <c r="AW218"/>
      <c r="AX218"/>
      <c r="AY218"/>
      <c r="AZ218"/>
      <c r="BA218"/>
      <c r="BB218"/>
      <c r="BC218"/>
      <c r="BD218"/>
      <c r="BE218"/>
      <c r="BF218"/>
      <c r="BG218"/>
    </row>
    <row r="219" spans="3:63" s="69" customFormat="1" x14ac:dyDescent="0.25">
      <c r="C219"/>
      <c r="D219"/>
      <c r="E219"/>
      <c r="F219"/>
      <c r="G219"/>
      <c r="H219"/>
      <c r="I219"/>
      <c r="J219"/>
      <c r="K219"/>
      <c r="L219"/>
      <c r="M219"/>
      <c r="N219"/>
      <c r="O219"/>
      <c r="P219"/>
      <c r="Q219"/>
      <c r="R219"/>
      <c r="S219"/>
      <c r="T219"/>
      <c r="U219"/>
      <c r="V219"/>
      <c r="W219"/>
      <c r="X219"/>
      <c r="Y219"/>
      <c r="Z219"/>
      <c r="AA219"/>
      <c r="AB219"/>
      <c r="AC219"/>
      <c r="AD219"/>
      <c r="AE219"/>
      <c r="AF219"/>
      <c r="AG219" s="278">
        <v>1430347</v>
      </c>
      <c r="AH219" s="280">
        <v>85197</v>
      </c>
      <c r="AI219" s="214">
        <v>43964</v>
      </c>
      <c r="AJ219" t="s">
        <v>362</v>
      </c>
      <c r="AK219" s="214">
        <f>AI219+14</f>
        <v>43978</v>
      </c>
      <c r="AL219"/>
      <c r="AM219"/>
      <c r="AN219"/>
      <c r="AO219"/>
      <c r="AP219"/>
      <c r="AQ219"/>
      <c r="AR219"/>
      <c r="AS219"/>
      <c r="AT219"/>
      <c r="AU219"/>
      <c r="AV219"/>
      <c r="AW219"/>
      <c r="AX219"/>
      <c r="AY219"/>
      <c r="AZ219"/>
      <c r="BA219"/>
      <c r="BB219"/>
      <c r="BC219"/>
      <c r="BD219"/>
      <c r="BE219"/>
      <c r="BF219"/>
      <c r="BG219"/>
      <c r="BH219"/>
      <c r="BI219"/>
      <c r="BJ219"/>
      <c r="BK219"/>
    </row>
    <row r="220" spans="3:63" s="69" customFormat="1" x14ac:dyDescent="0.25">
      <c r="AG220" s="278">
        <v>1484285</v>
      </c>
      <c r="AH220" s="280">
        <v>88507</v>
      </c>
      <c r="AI220" s="214">
        <v>43966</v>
      </c>
      <c r="AJ220" t="s">
        <v>363</v>
      </c>
      <c r="AP220"/>
      <c r="AQ220"/>
      <c r="AR220"/>
      <c r="AS220"/>
      <c r="AT220"/>
      <c r="AU220"/>
      <c r="AV220"/>
      <c r="AW220"/>
      <c r="AX220"/>
      <c r="AY220"/>
      <c r="AZ220"/>
      <c r="BA220"/>
      <c r="BB220"/>
      <c r="BC220"/>
      <c r="BD220"/>
      <c r="BE220"/>
      <c r="BF220"/>
      <c r="BG220"/>
      <c r="BH220"/>
      <c r="BI220"/>
      <c r="BJ220"/>
      <c r="BK220"/>
    </row>
    <row r="221" spans="3:63" s="69" customFormat="1" x14ac:dyDescent="0.25">
      <c r="AG221" s="278">
        <v>1484285</v>
      </c>
      <c r="AH221" s="280">
        <v>88507</v>
      </c>
      <c r="AI221" s="165">
        <v>43966</v>
      </c>
      <c r="AJ221" s="69" t="s">
        <v>364</v>
      </c>
      <c r="AK221"/>
      <c r="AT221"/>
      <c r="AU221"/>
      <c r="AV221"/>
      <c r="AW221"/>
      <c r="AX221"/>
      <c r="AY221"/>
      <c r="AZ221"/>
      <c r="BA221"/>
      <c r="BB221"/>
      <c r="BC221"/>
      <c r="BD221"/>
      <c r="BE221"/>
      <c r="BF221"/>
      <c r="BG221"/>
      <c r="BH221"/>
      <c r="BI221"/>
      <c r="BJ221"/>
      <c r="BK221"/>
    </row>
    <row r="222" spans="3:63" s="69" customFormat="1" x14ac:dyDescent="0.25">
      <c r="AG222" s="278">
        <v>1484285</v>
      </c>
      <c r="AH222" s="280">
        <v>88507</v>
      </c>
      <c r="AI222" s="259">
        <v>43966</v>
      </c>
      <c r="AJ222" s="69" t="s">
        <v>365</v>
      </c>
      <c r="AK222"/>
      <c r="AL222"/>
      <c r="AM222"/>
      <c r="AN222"/>
      <c r="AO222"/>
      <c r="AP222"/>
      <c r="AQ222"/>
      <c r="AR222"/>
      <c r="AS222"/>
      <c r="AT222"/>
      <c r="AU222"/>
      <c r="AV222"/>
      <c r="AW222"/>
      <c r="AX222"/>
      <c r="AY222"/>
      <c r="AZ222"/>
      <c r="BA222"/>
      <c r="BB222"/>
      <c r="BC222"/>
      <c r="BD222"/>
      <c r="BE222"/>
      <c r="BG222"/>
      <c r="BH222"/>
      <c r="BI222"/>
      <c r="BJ222"/>
      <c r="BK222"/>
    </row>
    <row r="223" spans="3:63" s="69" customFormat="1" x14ac:dyDescent="0.25">
      <c r="AG223" s="278">
        <v>1507773</v>
      </c>
      <c r="AH223" s="280">
        <v>90113</v>
      </c>
      <c r="AI223" s="259">
        <v>43967</v>
      </c>
      <c r="AJ223" s="69" t="s">
        <v>366</v>
      </c>
      <c r="AK223"/>
      <c r="AL223"/>
      <c r="AM223"/>
      <c r="AN223"/>
      <c r="AO223"/>
      <c r="AP223"/>
      <c r="AQ223"/>
      <c r="AR223"/>
      <c r="AS223"/>
      <c r="AU223"/>
      <c r="AV223"/>
      <c r="AW223"/>
      <c r="AX223"/>
      <c r="AY223"/>
      <c r="AZ223"/>
      <c r="BA223"/>
      <c r="BB223"/>
      <c r="BC223"/>
      <c r="BD223"/>
      <c r="BE223"/>
      <c r="BF223"/>
      <c r="BG223"/>
      <c r="BH223"/>
      <c r="BI223"/>
      <c r="BJ223"/>
      <c r="BK223"/>
    </row>
    <row r="224" spans="3:63" s="69" customFormat="1" x14ac:dyDescent="0.25">
      <c r="AG224" s="278">
        <v>1507773</v>
      </c>
      <c r="AH224" s="280">
        <v>90113</v>
      </c>
      <c r="AI224" s="165">
        <v>43967</v>
      </c>
      <c r="AJ224" s="69" t="s">
        <v>383</v>
      </c>
      <c r="AK224"/>
      <c r="AL224"/>
      <c r="AM224"/>
      <c r="AN224"/>
      <c r="AO224"/>
      <c r="AP224"/>
      <c r="AQ224"/>
      <c r="AR224"/>
      <c r="AS224"/>
      <c r="AT224"/>
      <c r="AU224"/>
      <c r="AV224"/>
      <c r="AW224"/>
      <c r="AX224"/>
      <c r="AY224"/>
      <c r="AZ224"/>
      <c r="BA224"/>
      <c r="BB224"/>
      <c r="BC224"/>
      <c r="BD224"/>
      <c r="BE224"/>
      <c r="BF224"/>
      <c r="BG224"/>
      <c r="BH224"/>
      <c r="BI224"/>
      <c r="BJ224"/>
      <c r="BK224"/>
    </row>
    <row r="225" spans="3:63" s="69" customFormat="1" x14ac:dyDescent="0.25">
      <c r="AG225" s="278">
        <v>1527664</v>
      </c>
      <c r="AH225" s="280">
        <v>90978</v>
      </c>
      <c r="AI225" s="214">
        <v>43968</v>
      </c>
      <c r="AJ225" t="s">
        <v>373</v>
      </c>
      <c r="AK225"/>
      <c r="AL225"/>
      <c r="AM225"/>
      <c r="AN225"/>
      <c r="AO225"/>
      <c r="AP225"/>
      <c r="AQ225"/>
      <c r="AR225"/>
      <c r="AS225"/>
      <c r="AT225"/>
      <c r="AU225"/>
      <c r="AV225"/>
      <c r="AW225"/>
      <c r="AX225"/>
      <c r="AY225"/>
      <c r="AZ225"/>
      <c r="BA225"/>
      <c r="BB225"/>
      <c r="BC225"/>
      <c r="BD225"/>
      <c r="BE225"/>
      <c r="BF225"/>
      <c r="BG225"/>
      <c r="BH225"/>
      <c r="BI225"/>
      <c r="BJ225"/>
      <c r="BK225"/>
    </row>
    <row r="226" spans="3:63" s="69" customFormat="1" x14ac:dyDescent="0.25">
      <c r="AG226" s="278">
        <v>1527664</v>
      </c>
      <c r="AH226" s="280">
        <v>90978</v>
      </c>
      <c r="AI226" s="259">
        <v>43968</v>
      </c>
      <c r="AJ226" t="s">
        <v>367</v>
      </c>
      <c r="AK226"/>
      <c r="AL226"/>
      <c r="AM226"/>
      <c r="AN226"/>
      <c r="AO226"/>
      <c r="AP226"/>
      <c r="AQ226"/>
      <c r="AR226"/>
      <c r="AS226"/>
      <c r="AT226"/>
      <c r="BA226"/>
      <c r="BB226"/>
      <c r="BC226"/>
      <c r="BD226"/>
      <c r="BE226"/>
      <c r="BF226"/>
      <c r="BG226"/>
      <c r="BH226"/>
      <c r="BI226"/>
      <c r="BJ226"/>
      <c r="BK226"/>
    </row>
    <row r="227" spans="3:63" s="69" customFormat="1" x14ac:dyDescent="0.25">
      <c r="AH227" s="278">
        <v>1570583</v>
      </c>
      <c r="AI227" s="280">
        <v>93533</v>
      </c>
      <c r="AJ227" s="259">
        <v>43970</v>
      </c>
      <c r="AK227" t="s">
        <v>371</v>
      </c>
      <c r="AT227"/>
      <c r="BA227"/>
      <c r="BB227"/>
      <c r="BC227"/>
      <c r="BD227"/>
      <c r="BE227"/>
      <c r="BF227"/>
      <c r="BH227"/>
      <c r="BI227"/>
      <c r="BJ227"/>
      <c r="BK227"/>
    </row>
    <row r="228" spans="3:63" s="69" customFormat="1" x14ac:dyDescent="0.25">
      <c r="AG228"/>
      <c r="AH228" s="278">
        <v>1570583</v>
      </c>
      <c r="AI228" s="280">
        <v>93533</v>
      </c>
      <c r="AJ228" s="214">
        <v>43970</v>
      </c>
      <c r="AK228" t="s">
        <v>374</v>
      </c>
      <c r="AL228"/>
      <c r="AM228"/>
      <c r="AN228"/>
      <c r="AO228"/>
      <c r="AP228"/>
      <c r="AQ228"/>
      <c r="AR228"/>
      <c r="AS228"/>
      <c r="AT228"/>
      <c r="AU228"/>
      <c r="AV228"/>
      <c r="AW228"/>
      <c r="AX228"/>
      <c r="AY228"/>
      <c r="AZ228"/>
      <c r="BA228"/>
      <c r="BB228"/>
      <c r="BC228"/>
      <c r="BD228"/>
      <c r="BE228"/>
      <c r="BF228"/>
      <c r="BH228"/>
      <c r="BI228"/>
      <c r="BJ228"/>
      <c r="BK228"/>
    </row>
    <row r="229" spans="3:63" s="69" customFormat="1" x14ac:dyDescent="0.25">
      <c r="AG229"/>
      <c r="AH229" s="278">
        <v>1570583</v>
      </c>
      <c r="AI229" s="280">
        <v>93533</v>
      </c>
      <c r="AJ229" s="259">
        <v>43970</v>
      </c>
      <c r="AK229" t="s">
        <v>369</v>
      </c>
      <c r="AL229"/>
      <c r="AM229"/>
      <c r="AN229"/>
      <c r="AO229"/>
      <c r="AP229"/>
      <c r="AQ229"/>
      <c r="AR229"/>
      <c r="AS229"/>
      <c r="AT229"/>
      <c r="AU229"/>
      <c r="AV229"/>
      <c r="AW229"/>
      <c r="AX229"/>
      <c r="AY229"/>
      <c r="AZ229"/>
      <c r="BA229"/>
      <c r="BB229"/>
      <c r="BC229"/>
      <c r="BD229"/>
      <c r="BE229"/>
      <c r="BF229"/>
      <c r="BG229"/>
      <c r="BH229"/>
      <c r="BI229"/>
      <c r="BJ229"/>
      <c r="BK229"/>
    </row>
    <row r="230" spans="3:63" s="69" customFormat="1" x14ac:dyDescent="0.25">
      <c r="AG230"/>
      <c r="AH230" s="278">
        <v>1570583</v>
      </c>
      <c r="AI230" s="280">
        <v>93533</v>
      </c>
      <c r="AJ230" s="259">
        <v>43970</v>
      </c>
      <c r="AK230" t="s">
        <v>372</v>
      </c>
      <c r="AL230"/>
      <c r="AM230"/>
      <c r="AN230"/>
      <c r="AO230"/>
      <c r="AP230"/>
      <c r="AQ230"/>
      <c r="AR230"/>
      <c r="AS230"/>
      <c r="AT230"/>
      <c r="AU230"/>
      <c r="AV230"/>
      <c r="AW230"/>
      <c r="AX230"/>
      <c r="AY230"/>
      <c r="AZ230"/>
      <c r="BG230"/>
      <c r="BH230"/>
      <c r="BI230"/>
      <c r="BJ230"/>
      <c r="BK230"/>
    </row>
    <row r="231" spans="3:63" s="69" customFormat="1" x14ac:dyDescent="0.25">
      <c r="AG231"/>
      <c r="AH231" s="278">
        <v>1570583</v>
      </c>
      <c r="AI231" s="280">
        <v>93533</v>
      </c>
      <c r="AJ231" s="214">
        <v>43970</v>
      </c>
      <c r="AK231" t="s">
        <v>375</v>
      </c>
      <c r="AL231"/>
      <c r="AM231"/>
      <c r="AN231"/>
      <c r="AO231"/>
      <c r="AP231"/>
      <c r="AQ231"/>
      <c r="AR231"/>
      <c r="AS231"/>
      <c r="AU231"/>
      <c r="AV231"/>
      <c r="AW231"/>
      <c r="AX231"/>
      <c r="AY231"/>
      <c r="AZ231"/>
      <c r="BF231"/>
      <c r="BH231"/>
      <c r="BI231"/>
      <c r="BJ231"/>
      <c r="BK231"/>
    </row>
    <row r="232" spans="3:63" s="69" customFormat="1" x14ac:dyDescent="0.25">
      <c r="AG232"/>
      <c r="AH232" s="278">
        <v>1570583</v>
      </c>
      <c r="AI232" s="280">
        <v>93533</v>
      </c>
      <c r="AJ232" s="214">
        <v>43970</v>
      </c>
      <c r="AK232" t="s">
        <v>370</v>
      </c>
      <c r="AL232"/>
      <c r="AM232"/>
      <c r="AN232"/>
      <c r="AO232"/>
      <c r="AP232"/>
      <c r="AQ232"/>
      <c r="AR232"/>
      <c r="AS232"/>
      <c r="BF232"/>
      <c r="BH232"/>
      <c r="BI232"/>
      <c r="BJ232"/>
      <c r="BK232"/>
    </row>
    <row r="233" spans="3:63" s="69" customFormat="1" x14ac:dyDescent="0.25">
      <c r="AG233"/>
      <c r="AH233" s="278">
        <v>1570583</v>
      </c>
      <c r="AI233" s="280">
        <v>93533</v>
      </c>
      <c r="AJ233" s="214">
        <v>43970</v>
      </c>
      <c r="AK233" t="s">
        <v>387</v>
      </c>
      <c r="AL233"/>
      <c r="AM233"/>
      <c r="AN233"/>
      <c r="AO233"/>
      <c r="AP233"/>
      <c r="AQ233"/>
      <c r="AR233"/>
      <c r="AS233"/>
      <c r="AT233"/>
      <c r="AU233"/>
      <c r="AV233"/>
      <c r="AW233"/>
      <c r="AX233"/>
      <c r="AY233"/>
      <c r="AZ233"/>
      <c r="BF233"/>
      <c r="BH233"/>
      <c r="BI233"/>
      <c r="BJ233"/>
      <c r="BK233"/>
    </row>
    <row r="234" spans="3:63" x14ac:dyDescent="0.25">
      <c r="AH234" s="278">
        <v>1570583</v>
      </c>
      <c r="AI234" s="280">
        <v>93533</v>
      </c>
      <c r="AJ234" s="214">
        <v>43970</v>
      </c>
      <c r="AK234" t="s">
        <v>391</v>
      </c>
      <c r="BG234" s="69"/>
    </row>
    <row r="235" spans="3:63" x14ac:dyDescent="0.25">
      <c r="AH235" s="278">
        <v>1591991</v>
      </c>
      <c r="AI235" s="280">
        <v>94994</v>
      </c>
      <c r="AJ235" s="214">
        <v>43971</v>
      </c>
      <c r="AK235" t="s">
        <v>376</v>
      </c>
      <c r="BG235" s="69"/>
    </row>
    <row r="236" spans="3:63" x14ac:dyDescent="0.25">
      <c r="AH236" s="278">
        <v>1591991</v>
      </c>
      <c r="AI236" s="280">
        <v>94994</v>
      </c>
      <c r="AJ236" s="214">
        <v>43971</v>
      </c>
      <c r="AK236" t="s">
        <v>396</v>
      </c>
      <c r="AT236" s="69"/>
    </row>
    <row r="237" spans="3:63" x14ac:dyDescent="0.25">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c r="AD237" s="69"/>
      <c r="AE237" s="69"/>
      <c r="AF237" s="69"/>
      <c r="AH237" s="278">
        <v>1591991</v>
      </c>
      <c r="AI237" s="280">
        <v>94994</v>
      </c>
      <c r="AJ237" s="214">
        <v>43971</v>
      </c>
      <c r="AK237" t="s">
        <v>422</v>
      </c>
      <c r="AT237" s="69"/>
    </row>
    <row r="238" spans="3:63" x14ac:dyDescent="0.25">
      <c r="AH238" s="278">
        <v>1620902</v>
      </c>
      <c r="AI238" s="280">
        <v>96354</v>
      </c>
      <c r="AJ238" s="214">
        <v>43972</v>
      </c>
      <c r="AK238" t="s">
        <v>377</v>
      </c>
    </row>
    <row r="239" spans="3:63" s="69" customFormat="1" x14ac:dyDescent="0.25">
      <c r="C239"/>
      <c r="D239"/>
      <c r="E239"/>
      <c r="F239"/>
      <c r="G239"/>
      <c r="H239"/>
      <c r="I239"/>
      <c r="J239"/>
      <c r="K239"/>
      <c r="L239"/>
      <c r="M239"/>
      <c r="N239"/>
      <c r="O239"/>
      <c r="P239"/>
      <c r="Q239"/>
      <c r="R239"/>
      <c r="S239"/>
      <c r="T239"/>
      <c r="U239"/>
      <c r="V239"/>
      <c r="W239"/>
      <c r="X239"/>
      <c r="Y239"/>
      <c r="Z239"/>
      <c r="AA239"/>
      <c r="AB239"/>
      <c r="AC239"/>
      <c r="AD239"/>
      <c r="AE239"/>
      <c r="AF239"/>
      <c r="AG239"/>
      <c r="AH239" s="278">
        <v>1620902</v>
      </c>
      <c r="AI239" s="280">
        <v>96354</v>
      </c>
      <c r="AJ239" s="259">
        <v>43972</v>
      </c>
      <c r="AK239" t="s">
        <v>390</v>
      </c>
      <c r="AL239"/>
      <c r="AM239"/>
      <c r="AN239"/>
      <c r="AO239"/>
      <c r="AP239"/>
      <c r="AQ239"/>
      <c r="AR239"/>
      <c r="AS239"/>
      <c r="AT239"/>
      <c r="AU239"/>
      <c r="AV239"/>
      <c r="AW239"/>
      <c r="AX239"/>
      <c r="AY239"/>
      <c r="AZ239"/>
      <c r="BF239"/>
      <c r="BG239"/>
    </row>
    <row r="240" spans="3:63" x14ac:dyDescent="0.25">
      <c r="AH240" s="278">
        <v>1620902</v>
      </c>
      <c r="AI240" s="280">
        <v>96354</v>
      </c>
      <c r="AJ240" s="259">
        <v>43972</v>
      </c>
      <c r="AK240" t="s">
        <v>380</v>
      </c>
      <c r="AU240" s="69"/>
      <c r="AV240" s="69"/>
      <c r="AW240" s="69"/>
      <c r="AX240" s="69"/>
      <c r="AY240" s="69"/>
      <c r="AZ240" s="69"/>
      <c r="BA240" s="69"/>
      <c r="BB240" s="69"/>
      <c r="BC240" s="69"/>
      <c r="BD240" s="69"/>
      <c r="BE240" s="69"/>
      <c r="BG240" s="69"/>
    </row>
    <row r="241" spans="3:63" x14ac:dyDescent="0.25">
      <c r="AH241" s="278">
        <v>1620902</v>
      </c>
      <c r="AI241" s="280">
        <v>96354</v>
      </c>
      <c r="AJ241" s="214">
        <v>43972</v>
      </c>
      <c r="AK241" t="s">
        <v>379</v>
      </c>
      <c r="AU241" s="69"/>
      <c r="AV241" s="69"/>
      <c r="AW241" s="69"/>
      <c r="AX241" s="69"/>
      <c r="AY241" s="69"/>
      <c r="AZ241" s="69"/>
    </row>
    <row r="242" spans="3:63" x14ac:dyDescent="0.25">
      <c r="AH242" s="278">
        <v>1620902</v>
      </c>
      <c r="AI242" s="280">
        <v>96354</v>
      </c>
      <c r="AJ242" s="259">
        <v>43972</v>
      </c>
      <c r="AK242" t="s">
        <v>378</v>
      </c>
      <c r="BH242" s="69"/>
      <c r="BI242" s="69"/>
      <c r="BJ242" s="69"/>
      <c r="BK242" s="69"/>
    </row>
    <row r="243" spans="3:63" x14ac:dyDescent="0.25">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c r="AD243" s="69"/>
      <c r="AE243" s="69"/>
      <c r="AF243" s="69"/>
      <c r="AH243" s="278">
        <v>1620902</v>
      </c>
      <c r="AI243" s="280">
        <v>96354</v>
      </c>
      <c r="AJ243" s="259">
        <v>43972</v>
      </c>
      <c r="AK243" t="s">
        <v>421</v>
      </c>
      <c r="AT243" s="69"/>
      <c r="BH243" s="69"/>
      <c r="BI243" s="69"/>
      <c r="BJ243" s="69"/>
      <c r="BK243" s="69"/>
    </row>
    <row r="244" spans="3:63" x14ac:dyDescent="0.25">
      <c r="AH244" s="278">
        <v>1620902</v>
      </c>
      <c r="AI244" s="280">
        <v>96354</v>
      </c>
      <c r="AJ244" s="259">
        <v>43972</v>
      </c>
      <c r="AK244" t="s">
        <v>423</v>
      </c>
    </row>
    <row r="245" spans="3:63" x14ac:dyDescent="0.25">
      <c r="AH245" s="278">
        <v>1645094</v>
      </c>
      <c r="AI245" s="280">
        <v>97647</v>
      </c>
      <c r="AJ245" s="165">
        <v>43973</v>
      </c>
      <c r="AK245" t="s">
        <v>388</v>
      </c>
      <c r="AU245" s="69"/>
      <c r="AV245" s="69"/>
      <c r="AW245" s="69"/>
      <c r="AX245" s="69"/>
      <c r="AY245" s="69"/>
      <c r="AZ245" s="69"/>
    </row>
    <row r="246" spans="3:63" x14ac:dyDescent="0.25">
      <c r="AH246" s="278">
        <v>1645094</v>
      </c>
      <c r="AI246" s="280">
        <v>97647</v>
      </c>
      <c r="AJ246" s="165">
        <v>43973</v>
      </c>
      <c r="AK246" t="s">
        <v>394</v>
      </c>
      <c r="AU246" s="69"/>
      <c r="AV246" s="69"/>
      <c r="AW246" s="69"/>
      <c r="AX246" s="69"/>
      <c r="AY246" s="69"/>
      <c r="AZ246" s="69"/>
      <c r="BF246" s="69"/>
      <c r="BG246" s="69"/>
      <c r="BH246" s="69"/>
      <c r="BI246" s="69"/>
      <c r="BJ246" s="69"/>
      <c r="BK246" s="69"/>
    </row>
    <row r="247" spans="3:63" x14ac:dyDescent="0.25">
      <c r="AH247" s="278">
        <v>1645094</v>
      </c>
      <c r="AI247" s="280">
        <v>97647</v>
      </c>
      <c r="AJ247" s="165">
        <v>43973</v>
      </c>
      <c r="AK247" t="s">
        <v>507</v>
      </c>
      <c r="BF247" s="69"/>
      <c r="BG247" s="69"/>
    </row>
    <row r="248" spans="3:63" x14ac:dyDescent="0.25">
      <c r="AG248" s="69"/>
      <c r="AH248" s="278">
        <v>1645094</v>
      </c>
      <c r="AI248" s="280">
        <v>97647</v>
      </c>
      <c r="AJ248" s="259">
        <v>43973</v>
      </c>
      <c r="AK248" t="s">
        <v>386</v>
      </c>
      <c r="AL248" s="69"/>
      <c r="AM248" s="69"/>
      <c r="AN248" s="69"/>
      <c r="AO248" s="69"/>
      <c r="AP248" s="69"/>
      <c r="AQ248" s="69"/>
      <c r="AR248" s="69"/>
      <c r="AS248" s="69"/>
      <c r="BF248" s="69"/>
      <c r="BH248" s="69"/>
      <c r="BI248" s="69"/>
      <c r="BJ248" s="69"/>
      <c r="BK248" s="69"/>
    </row>
    <row r="249" spans="3:63" x14ac:dyDescent="0.25">
      <c r="AG249" s="69"/>
      <c r="AH249" s="278">
        <v>1644899</v>
      </c>
      <c r="AI249" s="280">
        <v>98678</v>
      </c>
      <c r="AJ249" s="165">
        <v>43974</v>
      </c>
      <c r="AK249" s="69" t="s">
        <v>392</v>
      </c>
      <c r="AL249" s="69"/>
      <c r="AM249" s="69"/>
      <c r="AN249" s="69"/>
      <c r="AO249" s="69"/>
      <c r="AP249" s="69"/>
      <c r="AQ249" s="69"/>
      <c r="AR249" s="69"/>
      <c r="AS249" s="69"/>
      <c r="BF249" s="69"/>
      <c r="BH249" s="69"/>
      <c r="BI249" s="69"/>
      <c r="BJ249" s="69"/>
      <c r="BK249" s="69"/>
    </row>
    <row r="250" spans="3:63" x14ac:dyDescent="0.25">
      <c r="AG250" s="69"/>
      <c r="AH250" s="278">
        <v>1644899</v>
      </c>
      <c r="AI250" s="280">
        <v>98678</v>
      </c>
      <c r="AJ250" s="165">
        <v>43974</v>
      </c>
      <c r="AK250" s="69" t="s">
        <v>415</v>
      </c>
      <c r="AL250" s="69"/>
      <c r="AM250" s="69"/>
      <c r="AN250" s="69"/>
      <c r="AO250" s="69"/>
      <c r="AP250" s="69"/>
      <c r="AQ250" s="69"/>
      <c r="AR250" s="69"/>
      <c r="AS250" s="69"/>
    </row>
    <row r="251" spans="3:63" x14ac:dyDescent="0.25">
      <c r="AH251" s="278">
        <v>1686436</v>
      </c>
      <c r="AI251" s="280">
        <v>99293</v>
      </c>
      <c r="AJ251" s="165">
        <v>43975</v>
      </c>
      <c r="AK251" s="69" t="s">
        <v>419</v>
      </c>
    </row>
    <row r="252" spans="3:63" s="69" customFormat="1" x14ac:dyDescent="0.25">
      <c r="C252"/>
      <c r="D252"/>
      <c r="E252"/>
      <c r="F252"/>
      <c r="G252"/>
      <c r="H252"/>
      <c r="I252"/>
      <c r="J252"/>
      <c r="K252"/>
      <c r="L252"/>
      <c r="M252"/>
      <c r="N252"/>
      <c r="O252"/>
      <c r="P252"/>
      <c r="Q252"/>
      <c r="R252"/>
      <c r="S252"/>
      <c r="T252"/>
      <c r="U252"/>
      <c r="V252"/>
      <c r="W252"/>
      <c r="X252"/>
      <c r="Y252"/>
      <c r="Z252"/>
      <c r="AA252"/>
      <c r="AB252"/>
      <c r="AC252"/>
      <c r="AD252"/>
      <c r="AE252"/>
      <c r="AF252"/>
      <c r="AG252"/>
      <c r="AH252" s="278">
        <v>1686436</v>
      </c>
      <c r="AI252" s="280">
        <v>99293</v>
      </c>
      <c r="AJ252" s="165">
        <v>43975</v>
      </c>
      <c r="AK252" s="69" t="s">
        <v>393</v>
      </c>
      <c r="AL252"/>
      <c r="AM252"/>
      <c r="AN252"/>
      <c r="AO252"/>
      <c r="AP252"/>
      <c r="AQ252"/>
      <c r="AR252"/>
      <c r="AS252"/>
      <c r="AT252"/>
      <c r="BF252"/>
      <c r="BG252"/>
      <c r="BH252"/>
      <c r="BI252"/>
      <c r="BJ252"/>
      <c r="BK252"/>
    </row>
    <row r="253" spans="3:63" s="69" customFormat="1" x14ac:dyDescent="0.25">
      <c r="C253"/>
      <c r="D253"/>
      <c r="E253"/>
      <c r="F253"/>
      <c r="G253"/>
      <c r="H253"/>
      <c r="I253"/>
      <c r="J253"/>
      <c r="K253"/>
      <c r="L253"/>
      <c r="M253"/>
      <c r="N253"/>
      <c r="O253"/>
      <c r="P253"/>
      <c r="Q253"/>
      <c r="R253"/>
      <c r="S253"/>
      <c r="T253"/>
      <c r="U253"/>
      <c r="V253"/>
      <c r="W253"/>
      <c r="X253"/>
      <c r="Y253"/>
      <c r="Z253"/>
      <c r="AA253"/>
      <c r="AB253"/>
      <c r="AC253"/>
      <c r="AD253"/>
      <c r="AE253"/>
      <c r="AF253"/>
      <c r="AG253"/>
      <c r="AH253" s="278">
        <v>1706226</v>
      </c>
      <c r="AI253" s="280">
        <v>99798</v>
      </c>
      <c r="AJ253" s="214">
        <v>43976</v>
      </c>
      <c r="AK253" s="69" t="s">
        <v>411</v>
      </c>
      <c r="AL253"/>
      <c r="AM253"/>
      <c r="AN253"/>
      <c r="AO253"/>
      <c r="AP253"/>
      <c r="AQ253"/>
      <c r="AR253"/>
      <c r="AS253"/>
      <c r="AT253"/>
      <c r="AU253"/>
      <c r="AV253"/>
      <c r="AW253"/>
      <c r="AX253"/>
      <c r="AY253"/>
      <c r="AZ253"/>
      <c r="BF253"/>
      <c r="BG253"/>
      <c r="BH253"/>
      <c r="BI253"/>
      <c r="BJ253"/>
      <c r="BK253"/>
    </row>
    <row r="254" spans="3:63" s="69" customFormat="1" x14ac:dyDescent="0.25">
      <c r="C254"/>
      <c r="D254"/>
      <c r="E254"/>
      <c r="F254"/>
      <c r="G254"/>
      <c r="H254"/>
      <c r="I254"/>
      <c r="J254"/>
      <c r="K254"/>
      <c r="L254"/>
      <c r="M254"/>
      <c r="N254"/>
      <c r="O254"/>
      <c r="P254"/>
      <c r="Q254"/>
      <c r="R254"/>
      <c r="S254"/>
      <c r="T254"/>
      <c r="U254"/>
      <c r="V254"/>
      <c r="W254"/>
      <c r="X254"/>
      <c r="Y254"/>
      <c r="Z254"/>
      <c r="AA254"/>
      <c r="AB254"/>
      <c r="AC254"/>
      <c r="AD254"/>
      <c r="AE254"/>
      <c r="AF254"/>
      <c r="AG254"/>
      <c r="AH254" s="278">
        <v>1706226</v>
      </c>
      <c r="AI254" s="280">
        <v>99798</v>
      </c>
      <c r="AJ254" s="259">
        <v>43976</v>
      </c>
      <c r="AK254" s="69" t="s">
        <v>413</v>
      </c>
      <c r="AL254"/>
      <c r="AM254"/>
      <c r="AN254"/>
      <c r="AO254"/>
      <c r="AP254"/>
      <c r="AQ254"/>
      <c r="AR254"/>
      <c r="AS254"/>
      <c r="AT254"/>
      <c r="AU254"/>
      <c r="AV254"/>
      <c r="AW254"/>
      <c r="AX254"/>
      <c r="AY254"/>
      <c r="AZ254"/>
      <c r="BA254"/>
      <c r="BB254"/>
      <c r="BC254"/>
      <c r="BD254"/>
      <c r="BE254"/>
      <c r="BF254"/>
      <c r="BG254"/>
      <c r="BH254"/>
      <c r="BI254"/>
      <c r="BJ254"/>
      <c r="BK254"/>
    </row>
    <row r="255" spans="3:63" x14ac:dyDescent="0.25">
      <c r="AH255" s="278">
        <v>1706226</v>
      </c>
      <c r="AI255" s="280">
        <v>99798</v>
      </c>
      <c r="AJ255" s="259">
        <v>43976</v>
      </c>
      <c r="AK255" s="69" t="s">
        <v>410</v>
      </c>
      <c r="AL255" s="69"/>
      <c r="BF255" s="69"/>
      <c r="BH255" s="69"/>
      <c r="BI255" s="69"/>
      <c r="BJ255" s="69"/>
      <c r="BK255" s="69"/>
    </row>
    <row r="256" spans="3:63" x14ac:dyDescent="0.25">
      <c r="AH256" s="278">
        <v>1706226</v>
      </c>
      <c r="AI256" s="280">
        <v>99798</v>
      </c>
      <c r="AJ256" s="259">
        <v>43976</v>
      </c>
      <c r="AK256" s="69" t="s">
        <v>412</v>
      </c>
      <c r="BF256" s="69"/>
    </row>
    <row r="257" spans="3:63" x14ac:dyDescent="0.25">
      <c r="AH257" s="278">
        <v>1706226</v>
      </c>
      <c r="AI257" s="280">
        <v>99798</v>
      </c>
      <c r="AJ257" s="259">
        <v>43976</v>
      </c>
      <c r="AK257" s="69" t="s">
        <v>417</v>
      </c>
    </row>
    <row r="258" spans="3:63" x14ac:dyDescent="0.25">
      <c r="AH258" s="278">
        <v>1706226</v>
      </c>
      <c r="AI258" s="280">
        <v>99798</v>
      </c>
      <c r="AJ258" s="214">
        <v>43976</v>
      </c>
      <c r="AK258" s="69" t="s">
        <v>418</v>
      </c>
    </row>
    <row r="259" spans="3:63" x14ac:dyDescent="0.25">
      <c r="AH259" s="278">
        <v>1706226</v>
      </c>
      <c r="AI259" s="280">
        <v>99798</v>
      </c>
      <c r="AJ259" s="260">
        <v>43976</v>
      </c>
      <c r="AK259" s="69" t="s">
        <v>420</v>
      </c>
      <c r="AL259" s="247"/>
      <c r="BA259" s="69"/>
      <c r="BB259" s="69"/>
      <c r="BC259" s="69"/>
      <c r="BD259" s="69"/>
      <c r="BE259" s="69"/>
      <c r="BG259" s="69"/>
    </row>
    <row r="260" spans="3:63" x14ac:dyDescent="0.25">
      <c r="AH260" s="278">
        <v>1725275</v>
      </c>
      <c r="AI260" s="279">
        <v>100572</v>
      </c>
      <c r="AJ260" s="189">
        <v>43977</v>
      </c>
      <c r="AK260" s="69" t="s">
        <v>564</v>
      </c>
      <c r="BG260" s="69"/>
    </row>
    <row r="261" spans="3:63" x14ac:dyDescent="0.25">
      <c r="AH261" s="278">
        <v>1725275</v>
      </c>
      <c r="AI261" s="280">
        <v>100572</v>
      </c>
      <c r="AJ261" s="259">
        <v>43977</v>
      </c>
      <c r="AK261" s="47" t="s">
        <v>505</v>
      </c>
      <c r="BG261" s="69"/>
    </row>
    <row r="262" spans="3:63" x14ac:dyDescent="0.25">
      <c r="AH262" s="278">
        <v>1725275</v>
      </c>
      <c r="AI262" s="280">
        <v>100572</v>
      </c>
      <c r="AJ262" s="259">
        <v>43977</v>
      </c>
      <c r="AK262" s="47" t="s">
        <v>424</v>
      </c>
    </row>
    <row r="263" spans="3:63" x14ac:dyDescent="0.25">
      <c r="AH263" s="278">
        <v>1745803</v>
      </c>
      <c r="AI263" s="287">
        <v>102107</v>
      </c>
      <c r="AJ263" s="259">
        <v>43978</v>
      </c>
      <c r="AK263" s="47" t="s">
        <v>416</v>
      </c>
    </row>
    <row r="264" spans="3:63" x14ac:dyDescent="0.25">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69"/>
      <c r="AB264" s="69"/>
      <c r="AC264" s="69"/>
      <c r="AD264" s="69"/>
      <c r="AE264" s="69"/>
      <c r="AF264" s="69"/>
      <c r="AH264" s="278">
        <v>1745803</v>
      </c>
      <c r="AI264" s="287">
        <v>102107</v>
      </c>
      <c r="AJ264" s="259">
        <v>43978</v>
      </c>
      <c r="AK264" s="47" t="s">
        <v>506</v>
      </c>
      <c r="AT264" s="69"/>
    </row>
    <row r="265" spans="3:63" x14ac:dyDescent="0.25">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c r="AA265" s="69"/>
      <c r="AB265" s="69"/>
      <c r="AC265" s="69"/>
      <c r="AD265" s="69"/>
      <c r="AE265" s="69"/>
      <c r="AF265" s="69"/>
      <c r="AH265" s="288">
        <v>1768461</v>
      </c>
      <c r="AI265" s="287">
        <v>103330</v>
      </c>
      <c r="AJ265" s="259">
        <v>43979</v>
      </c>
      <c r="AK265" s="47" t="s">
        <v>425</v>
      </c>
      <c r="AT265" s="69"/>
    </row>
    <row r="266" spans="3:63" x14ac:dyDescent="0.25">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c r="AD266" s="69"/>
      <c r="AE266" s="69"/>
      <c r="AF266" s="69"/>
      <c r="AH266" s="288">
        <v>1768461</v>
      </c>
      <c r="AI266" s="287">
        <v>103330</v>
      </c>
      <c r="AJ266" s="259">
        <v>43979</v>
      </c>
      <c r="AK266" s="47" t="s">
        <v>575</v>
      </c>
      <c r="AT266" s="69"/>
    </row>
    <row r="267" spans="3:63" x14ac:dyDescent="0.25">
      <c r="AG267" s="69"/>
      <c r="AH267" s="69"/>
      <c r="AI267" s="288">
        <v>1793530</v>
      </c>
      <c r="AJ267" s="287">
        <v>104542</v>
      </c>
      <c r="AK267" s="259">
        <v>43980</v>
      </c>
      <c r="AL267" s="47" t="s">
        <v>533</v>
      </c>
      <c r="AM267" s="69"/>
      <c r="AN267" s="69"/>
      <c r="AO267" s="69"/>
      <c r="AP267" s="69"/>
      <c r="AQ267" s="69"/>
      <c r="AR267" s="69"/>
      <c r="AS267" s="69"/>
    </row>
    <row r="268" spans="3:63" s="69" customFormat="1" x14ac:dyDescent="0.25">
      <c r="C268"/>
      <c r="D268"/>
      <c r="E268"/>
      <c r="F268"/>
      <c r="G268"/>
      <c r="H268"/>
      <c r="I268"/>
      <c r="J268"/>
      <c r="K268"/>
      <c r="L268"/>
      <c r="M268"/>
      <c r="N268"/>
      <c r="O268"/>
      <c r="P268"/>
      <c r="Q268"/>
      <c r="R268"/>
      <c r="S268"/>
      <c r="T268"/>
      <c r="U268"/>
      <c r="V268"/>
      <c r="W268"/>
      <c r="X268"/>
      <c r="Y268"/>
      <c r="Z268"/>
      <c r="AA268"/>
      <c r="AB268"/>
      <c r="AC268"/>
      <c r="AD268"/>
      <c r="AE268"/>
      <c r="AF268"/>
      <c r="AI268" s="288">
        <v>1793530</v>
      </c>
      <c r="AJ268" s="287">
        <v>104542</v>
      </c>
      <c r="AK268" s="165">
        <v>43980</v>
      </c>
      <c r="AL268" s="69" t="s">
        <v>512</v>
      </c>
      <c r="AT268"/>
      <c r="AU268"/>
      <c r="AV268"/>
      <c r="AW268"/>
      <c r="AX268"/>
      <c r="AY268"/>
      <c r="AZ268"/>
      <c r="BA268"/>
      <c r="BB268"/>
      <c r="BC268"/>
      <c r="BD268"/>
      <c r="BE268"/>
    </row>
    <row r="269" spans="3:63" x14ac:dyDescent="0.25">
      <c r="AG269" s="69"/>
      <c r="AH269" s="69"/>
      <c r="AI269" s="288">
        <v>1793530</v>
      </c>
      <c r="AJ269" s="287">
        <v>104542</v>
      </c>
      <c r="AK269" s="259">
        <v>43980</v>
      </c>
      <c r="AL269" s="69" t="s">
        <v>532</v>
      </c>
      <c r="AM269" s="69"/>
      <c r="AN269" s="69"/>
      <c r="AO269" s="69"/>
      <c r="AP269" s="69"/>
      <c r="AQ269" s="69"/>
      <c r="AR269" s="69"/>
      <c r="AS269" s="69"/>
      <c r="BF269" s="69"/>
      <c r="BG269" s="69"/>
      <c r="BH269" s="69"/>
      <c r="BI269" s="69"/>
      <c r="BJ269" s="69"/>
      <c r="BK269" s="69"/>
    </row>
    <row r="270" spans="3:63" x14ac:dyDescent="0.25">
      <c r="AI270" s="288">
        <v>1837170</v>
      </c>
      <c r="AJ270" s="287">
        <v>106195</v>
      </c>
      <c r="AK270" s="259">
        <v>43982</v>
      </c>
      <c r="AL270" s="69" t="s">
        <v>537</v>
      </c>
    </row>
    <row r="271" spans="3:63" s="69" customFormat="1" x14ac:dyDescent="0.25">
      <c r="C271"/>
      <c r="D271"/>
      <c r="E271"/>
      <c r="F271"/>
      <c r="G271"/>
      <c r="H271"/>
      <c r="I271"/>
      <c r="J271"/>
      <c r="K271"/>
      <c r="L271"/>
      <c r="M271"/>
      <c r="N271"/>
      <c r="O271"/>
      <c r="P271"/>
      <c r="Q271"/>
      <c r="R271"/>
      <c r="S271"/>
      <c r="T271"/>
      <c r="U271"/>
      <c r="V271"/>
      <c r="W271"/>
      <c r="X271"/>
      <c r="Y271"/>
      <c r="Z271"/>
      <c r="AA271"/>
      <c r="AB271"/>
      <c r="AC271"/>
      <c r="AD271"/>
      <c r="AE271"/>
      <c r="AF271"/>
      <c r="AG271"/>
      <c r="AH271"/>
      <c r="AI271" s="288">
        <v>1859323</v>
      </c>
      <c r="AJ271" s="287">
        <v>106925</v>
      </c>
      <c r="AK271" s="214">
        <v>43983</v>
      </c>
      <c r="AL271" s="69" t="s">
        <v>536</v>
      </c>
      <c r="AM271"/>
      <c r="AN271"/>
      <c r="AO271"/>
      <c r="AP271"/>
      <c r="AQ271"/>
      <c r="AR271"/>
      <c r="AS271"/>
      <c r="AT271"/>
      <c r="AU271"/>
      <c r="AV271"/>
      <c r="AW271"/>
      <c r="AX271"/>
      <c r="AY271"/>
      <c r="AZ271"/>
      <c r="BA271"/>
      <c r="BB271"/>
      <c r="BC271"/>
      <c r="BD271"/>
      <c r="BE271"/>
      <c r="BF271"/>
      <c r="BG271"/>
      <c r="BH271"/>
      <c r="BI271"/>
      <c r="BJ271"/>
      <c r="BK271"/>
    </row>
    <row r="272" spans="3:63" s="69" customFormat="1" x14ac:dyDescent="0.25">
      <c r="C272"/>
      <c r="D272"/>
      <c r="E272"/>
      <c r="F272"/>
      <c r="G272"/>
      <c r="H272"/>
      <c r="I272"/>
      <c r="J272"/>
      <c r="K272"/>
      <c r="L272"/>
      <c r="M272"/>
      <c r="N272"/>
      <c r="O272"/>
      <c r="P272"/>
      <c r="Q272"/>
      <c r="R272"/>
      <c r="S272"/>
      <c r="T272"/>
      <c r="U272"/>
      <c r="V272"/>
      <c r="W272"/>
      <c r="X272"/>
      <c r="Y272"/>
      <c r="Z272"/>
      <c r="AA272"/>
      <c r="AB272"/>
      <c r="AC272"/>
      <c r="AD272"/>
      <c r="AE272"/>
      <c r="AF272"/>
      <c r="AG272"/>
      <c r="AH272"/>
      <c r="AI272" s="288">
        <v>1859323</v>
      </c>
      <c r="AJ272" s="287">
        <v>106925</v>
      </c>
      <c r="AK272" s="214">
        <v>43983</v>
      </c>
      <c r="AL272" s="69" t="s">
        <v>539</v>
      </c>
      <c r="AM272"/>
      <c r="AN272"/>
      <c r="AO272"/>
      <c r="AP272"/>
      <c r="AQ272"/>
      <c r="AR272"/>
      <c r="AS272"/>
      <c r="AT272"/>
      <c r="AU272"/>
      <c r="AV272"/>
      <c r="AW272"/>
      <c r="AX272"/>
      <c r="AY272"/>
      <c r="AZ272"/>
      <c r="BA272"/>
      <c r="BB272"/>
      <c r="BC272"/>
      <c r="BD272"/>
      <c r="BE272"/>
      <c r="BF272"/>
      <c r="BG272"/>
      <c r="BH272"/>
      <c r="BI272"/>
      <c r="BJ272"/>
      <c r="BK272"/>
    </row>
    <row r="273" spans="3:63" x14ac:dyDescent="0.25">
      <c r="AI273" s="288">
        <v>1881205</v>
      </c>
      <c r="AJ273" s="287">
        <v>108059</v>
      </c>
      <c r="AK273" s="260">
        <v>43984</v>
      </c>
      <c r="AL273" s="69" t="s">
        <v>540</v>
      </c>
      <c r="AU273" s="69"/>
      <c r="AV273" s="69"/>
      <c r="AW273" s="69"/>
      <c r="AX273" s="69"/>
      <c r="AY273" s="69"/>
      <c r="AZ273" s="69"/>
      <c r="BA273" s="69"/>
      <c r="BB273" s="69"/>
      <c r="BC273" s="69"/>
      <c r="BD273" s="69"/>
      <c r="BE273" s="69"/>
    </row>
    <row r="274" spans="3:63" x14ac:dyDescent="0.25">
      <c r="AI274" s="288">
        <v>1919975</v>
      </c>
      <c r="AJ274" s="287">
        <v>111760</v>
      </c>
      <c r="AK274" s="165">
        <v>43985</v>
      </c>
      <c r="AL274" s="69" t="s">
        <v>639</v>
      </c>
      <c r="AU274" s="69"/>
      <c r="AV274" s="69"/>
      <c r="AW274" s="69"/>
      <c r="AX274" s="69"/>
      <c r="AY274" s="69"/>
      <c r="AZ274" s="69"/>
      <c r="BA274" s="69"/>
      <c r="BB274" s="69"/>
      <c r="BC274" s="69"/>
      <c r="BD274" s="69"/>
      <c r="BE274" s="69"/>
    </row>
    <row r="275" spans="3:63" s="69" customFormat="1" x14ac:dyDescent="0.25">
      <c r="C275"/>
      <c r="D275"/>
      <c r="E275"/>
      <c r="F275"/>
      <c r="G275"/>
      <c r="H275"/>
      <c r="I275"/>
      <c r="J275"/>
      <c r="K275"/>
      <c r="L275"/>
      <c r="M275"/>
      <c r="N275"/>
      <c r="O275"/>
      <c r="P275"/>
      <c r="Q275"/>
      <c r="R275"/>
      <c r="S275"/>
      <c r="T275"/>
      <c r="U275"/>
      <c r="V275"/>
      <c r="W275"/>
      <c r="X275"/>
      <c r="Y275"/>
      <c r="Z275"/>
      <c r="AA275"/>
      <c r="AB275"/>
      <c r="AC275"/>
      <c r="AD275"/>
      <c r="AE275"/>
      <c r="AF275"/>
      <c r="AG275"/>
      <c r="AH275"/>
      <c r="AI275" s="288">
        <v>1940315</v>
      </c>
      <c r="AJ275" s="287">
        <v>112810</v>
      </c>
      <c r="AK275" s="165">
        <v>43986</v>
      </c>
      <c r="AL275" s="69" t="s">
        <v>559</v>
      </c>
      <c r="AP275"/>
      <c r="AQ275"/>
      <c r="AR275"/>
      <c r="AS275"/>
      <c r="AT275"/>
    </row>
    <row r="276" spans="3:63" x14ac:dyDescent="0.25">
      <c r="AI276" s="288">
        <v>1965708</v>
      </c>
      <c r="AJ276" s="287">
        <v>113798</v>
      </c>
      <c r="AK276" s="259">
        <v>43987</v>
      </c>
      <c r="AL276" s="69" t="s">
        <v>569</v>
      </c>
    </row>
    <row r="277" spans="3:63" s="69" customFormat="1" x14ac:dyDescent="0.25">
      <c r="C277"/>
      <c r="D277"/>
      <c r="E277"/>
      <c r="F277"/>
      <c r="G277"/>
      <c r="H277"/>
      <c r="I277"/>
      <c r="J277"/>
      <c r="K277"/>
      <c r="L277"/>
      <c r="M277"/>
      <c r="N277"/>
      <c r="O277"/>
      <c r="P277"/>
      <c r="Q277"/>
      <c r="R277"/>
      <c r="S277"/>
      <c r="T277"/>
      <c r="U277"/>
      <c r="V277"/>
      <c r="W277"/>
      <c r="X277"/>
      <c r="Y277"/>
      <c r="Z277"/>
      <c r="AA277"/>
      <c r="AB277"/>
      <c r="AC277"/>
      <c r="AD277"/>
      <c r="AE277"/>
      <c r="AF277"/>
      <c r="AG277"/>
      <c r="AH277"/>
      <c r="AI277" s="288">
        <v>1965708</v>
      </c>
      <c r="AJ277" s="287">
        <v>113798</v>
      </c>
      <c r="AK277" s="259">
        <v>43987</v>
      </c>
      <c r="AL277" t="s">
        <v>565</v>
      </c>
      <c r="AM277"/>
      <c r="AN277"/>
      <c r="AO277"/>
      <c r="AP277"/>
      <c r="AQ277"/>
      <c r="AR277"/>
      <c r="AS277"/>
      <c r="AT277"/>
      <c r="AU277"/>
      <c r="AV277"/>
      <c r="AW277"/>
      <c r="AX277"/>
      <c r="AY277"/>
      <c r="AZ277"/>
      <c r="BA277"/>
      <c r="BB277"/>
      <c r="BC277"/>
      <c r="BD277"/>
      <c r="BE277"/>
      <c r="BF277"/>
      <c r="BG277"/>
      <c r="BH277"/>
      <c r="BI277"/>
      <c r="BJ277"/>
      <c r="BK277"/>
    </row>
    <row r="278" spans="3:63" s="69" customFormat="1" x14ac:dyDescent="0.25">
      <c r="C278"/>
      <c r="D278"/>
      <c r="E278"/>
      <c r="F278"/>
      <c r="G278"/>
      <c r="H278"/>
      <c r="I278"/>
      <c r="J278"/>
      <c r="K278"/>
      <c r="L278"/>
      <c r="M278"/>
      <c r="N278"/>
      <c r="O278"/>
      <c r="P278"/>
      <c r="Q278"/>
      <c r="R278"/>
      <c r="S278"/>
      <c r="T278"/>
      <c r="U278"/>
      <c r="V278"/>
      <c r="W278"/>
      <c r="X278"/>
      <c r="Y278"/>
      <c r="Z278"/>
      <c r="AA278"/>
      <c r="AB278"/>
      <c r="AC278"/>
      <c r="AD278"/>
      <c r="AE278"/>
      <c r="AF278"/>
      <c r="AI278" s="288">
        <v>1965708</v>
      </c>
      <c r="AJ278" s="287">
        <v>113798</v>
      </c>
      <c r="AK278" s="214">
        <v>43987</v>
      </c>
      <c r="AL278" s="69" t="s">
        <v>563</v>
      </c>
      <c r="AM278"/>
      <c r="AN278"/>
      <c r="AO278"/>
      <c r="AT278"/>
      <c r="AU278"/>
      <c r="AV278"/>
      <c r="AW278"/>
      <c r="AX278"/>
      <c r="AY278"/>
      <c r="AZ278"/>
      <c r="BA278"/>
      <c r="BB278"/>
      <c r="BC278"/>
      <c r="BD278"/>
      <c r="BE278"/>
      <c r="BF278"/>
      <c r="BG278"/>
      <c r="BH278"/>
      <c r="BI278"/>
      <c r="BJ278"/>
      <c r="BK278"/>
    </row>
    <row r="279" spans="3:63" s="69" customFormat="1" x14ac:dyDescent="0.25">
      <c r="C279"/>
      <c r="D279"/>
      <c r="E279"/>
      <c r="F279"/>
      <c r="G279"/>
      <c r="H279"/>
      <c r="I279"/>
      <c r="J279"/>
      <c r="K279"/>
      <c r="L279"/>
      <c r="M279"/>
      <c r="N279"/>
      <c r="O279"/>
      <c r="P279"/>
      <c r="Q279"/>
      <c r="R279"/>
      <c r="S279"/>
      <c r="T279"/>
      <c r="U279"/>
      <c r="V279"/>
      <c r="W279"/>
      <c r="X279"/>
      <c r="Y279"/>
      <c r="Z279"/>
      <c r="AA279"/>
      <c r="AB279"/>
      <c r="AC279"/>
      <c r="AD279"/>
      <c r="AE279"/>
      <c r="AF279"/>
      <c r="AI279" s="277">
        <v>2007449</v>
      </c>
      <c r="AJ279" s="287">
        <v>114899</v>
      </c>
      <c r="AK279" s="214">
        <v>43989</v>
      </c>
      <c r="AL279" s="69" t="s">
        <v>560</v>
      </c>
      <c r="AM279"/>
      <c r="AN279"/>
      <c r="AO279"/>
      <c r="AT279"/>
      <c r="AU279"/>
      <c r="AV279"/>
      <c r="AW279"/>
      <c r="AX279"/>
      <c r="AY279"/>
      <c r="AZ279"/>
      <c r="BA279"/>
      <c r="BB279"/>
      <c r="BC279"/>
      <c r="BD279"/>
      <c r="BE279"/>
      <c r="BF279"/>
      <c r="BG279"/>
      <c r="BH279"/>
      <c r="BI279"/>
      <c r="BJ279"/>
      <c r="BK279"/>
    </row>
    <row r="280" spans="3:63" x14ac:dyDescent="0.25">
      <c r="AG280" s="69"/>
      <c r="AH280" s="69"/>
      <c r="AI280" s="288">
        <v>2026493</v>
      </c>
      <c r="AJ280" s="287">
        <v>115497</v>
      </c>
      <c r="AK280" s="260">
        <v>43990</v>
      </c>
      <c r="AL280" s="69" t="s">
        <v>562</v>
      </c>
      <c r="AP280" s="69"/>
      <c r="AQ280" s="69"/>
      <c r="AR280" s="69"/>
      <c r="AS280" s="69"/>
    </row>
    <row r="281" spans="3:63" x14ac:dyDescent="0.25">
      <c r="AJ281" s="288">
        <v>2045549</v>
      </c>
      <c r="AK281" s="287">
        <v>116602</v>
      </c>
      <c r="AL281" s="260">
        <v>43991</v>
      </c>
      <c r="AM281" t="s">
        <v>561</v>
      </c>
    </row>
    <row r="282" spans="3:63" x14ac:dyDescent="0.25">
      <c r="AJ282" s="288">
        <v>2066558</v>
      </c>
      <c r="AK282" s="287">
        <v>117600</v>
      </c>
      <c r="AL282" s="165">
        <v>43992</v>
      </c>
      <c r="AM282" t="s">
        <v>579</v>
      </c>
    </row>
    <row r="283" spans="3:63" x14ac:dyDescent="0.25">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c r="AD283" s="69"/>
      <c r="AE283" s="69"/>
      <c r="AF283" s="69"/>
      <c r="AJ283" s="288">
        <v>2089701</v>
      </c>
      <c r="AK283" s="287">
        <v>118518</v>
      </c>
      <c r="AL283" s="189">
        <v>43993</v>
      </c>
      <c r="AM283" t="s">
        <v>571</v>
      </c>
      <c r="AT283" s="69"/>
    </row>
    <row r="284" spans="3:63" x14ac:dyDescent="0.25">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69"/>
      <c r="AB284" s="69"/>
      <c r="AC284" s="69"/>
      <c r="AD284" s="69"/>
      <c r="AE284" s="69"/>
      <c r="AF284" s="69"/>
      <c r="AJ284" s="288">
        <v>2089701</v>
      </c>
      <c r="AK284" s="287">
        <v>118518</v>
      </c>
      <c r="AL284" s="259">
        <v>43993</v>
      </c>
      <c r="AM284" t="s">
        <v>567</v>
      </c>
      <c r="AT284" s="69"/>
    </row>
    <row r="285" spans="3:63" x14ac:dyDescent="0.25">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c r="AA285" s="69"/>
      <c r="AB285" s="69"/>
      <c r="AC285" s="69"/>
      <c r="AD285" s="69"/>
      <c r="AE285" s="69"/>
      <c r="AF285" s="69"/>
      <c r="AJ285" s="288">
        <v>2116922</v>
      </c>
      <c r="AK285" s="287">
        <v>119318</v>
      </c>
      <c r="AL285" s="189">
        <v>43994</v>
      </c>
      <c r="AM285" t="s">
        <v>572</v>
      </c>
      <c r="AT285" s="69"/>
    </row>
    <row r="286" spans="3:63" x14ac:dyDescent="0.25">
      <c r="AJ286" s="288">
        <v>2116922</v>
      </c>
      <c r="AK286" s="287">
        <v>119318</v>
      </c>
      <c r="AL286" s="214">
        <v>43994</v>
      </c>
      <c r="AM286" t="s">
        <v>566</v>
      </c>
    </row>
    <row r="287" spans="3:63" s="69" customFormat="1" x14ac:dyDescent="0.25">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s="288">
        <v>2142224</v>
      </c>
      <c r="AK287" s="287">
        <v>120034</v>
      </c>
      <c r="AL287" s="259">
        <v>43995</v>
      </c>
      <c r="AM287" t="s">
        <v>568</v>
      </c>
      <c r="AN287"/>
      <c r="AO287"/>
      <c r="AP287"/>
      <c r="AQ287"/>
      <c r="AR287"/>
      <c r="AS287"/>
      <c r="AT287"/>
      <c r="AU287"/>
      <c r="AV287"/>
      <c r="AW287"/>
      <c r="AX287"/>
      <c r="AY287"/>
      <c r="AZ287"/>
      <c r="BA287"/>
      <c r="BB287"/>
      <c r="BC287"/>
      <c r="BD287"/>
      <c r="BE287"/>
      <c r="BF287"/>
      <c r="BG287"/>
      <c r="BH287"/>
      <c r="BI287"/>
      <c r="BJ287"/>
      <c r="BK287"/>
    </row>
    <row r="288" spans="3:63" s="69" customFormat="1" x14ac:dyDescent="0.25">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s="288">
        <v>2182950</v>
      </c>
      <c r="AK288" s="287">
        <v>120802</v>
      </c>
      <c r="AL288" s="165">
        <v>43997</v>
      </c>
      <c r="AM288" s="69" t="s">
        <v>574</v>
      </c>
      <c r="AP288"/>
      <c r="AQ288"/>
      <c r="AR288"/>
      <c r="AS288"/>
      <c r="AT288"/>
      <c r="AU288"/>
      <c r="AV288"/>
      <c r="AW288"/>
      <c r="AX288"/>
      <c r="AY288"/>
      <c r="AZ288"/>
      <c r="BA288"/>
      <c r="BB288"/>
      <c r="BC288"/>
      <c r="BD288"/>
      <c r="BE288"/>
      <c r="BF288"/>
      <c r="BG288"/>
      <c r="BH288"/>
      <c r="BI288"/>
      <c r="BJ288"/>
      <c r="BK288"/>
    </row>
    <row r="289" spans="3:63" x14ac:dyDescent="0.25">
      <c r="AJ289" s="288">
        <v>2182950</v>
      </c>
      <c r="AK289" s="287">
        <v>120802</v>
      </c>
      <c r="AL289" s="259">
        <v>43997</v>
      </c>
      <c r="AM289" s="47" t="s">
        <v>576</v>
      </c>
      <c r="AN289" s="69"/>
      <c r="AO289" s="69"/>
      <c r="BF289" s="69"/>
      <c r="BG289" s="69"/>
      <c r="BH289" s="69"/>
      <c r="BI289" s="69"/>
      <c r="BJ289" s="69"/>
      <c r="BK289" s="69"/>
    </row>
    <row r="290" spans="3:63" x14ac:dyDescent="0.25">
      <c r="AJ290" s="288">
        <v>2208400</v>
      </c>
      <c r="AK290" s="287">
        <v>121661</v>
      </c>
      <c r="AL290" s="165">
        <v>43998</v>
      </c>
      <c r="AM290" s="69" t="s">
        <v>570</v>
      </c>
      <c r="BF290" s="69"/>
      <c r="BG290" s="69"/>
      <c r="BH290" s="69"/>
      <c r="BI290" s="69"/>
      <c r="BJ290" s="69"/>
      <c r="BK290" s="69"/>
    </row>
    <row r="291" spans="3:63" x14ac:dyDescent="0.25">
      <c r="AJ291" s="288">
        <v>2208400</v>
      </c>
      <c r="AK291" s="287">
        <v>121661</v>
      </c>
      <c r="AL291" s="214">
        <v>43998</v>
      </c>
      <c r="AM291" s="47" t="s">
        <v>573</v>
      </c>
      <c r="BF291" s="69"/>
      <c r="BG291" s="69"/>
      <c r="BH291" s="69"/>
      <c r="BI291" s="69"/>
      <c r="BJ291" s="69"/>
      <c r="BK291" s="69"/>
    </row>
    <row r="292" spans="3:63" x14ac:dyDescent="0.25">
      <c r="AJ292" s="288">
        <v>2208400</v>
      </c>
      <c r="AK292" s="287">
        <v>121661</v>
      </c>
      <c r="AL292" s="259">
        <v>43998</v>
      </c>
      <c r="AM292" s="47" t="s">
        <v>577</v>
      </c>
      <c r="BF292" s="69"/>
      <c r="BG292" s="69"/>
      <c r="BH292" s="69"/>
      <c r="BI292" s="69"/>
      <c r="BJ292" s="69"/>
      <c r="BK292" s="69"/>
    </row>
    <row r="293" spans="3:63" x14ac:dyDescent="0.25">
      <c r="AJ293" s="288">
        <v>2263651</v>
      </c>
      <c r="AK293" s="287">
        <v>123238</v>
      </c>
      <c r="AL293" s="259">
        <v>44000</v>
      </c>
      <c r="AM293" s="47" t="s">
        <v>578</v>
      </c>
    </row>
    <row r="294" spans="3:63" x14ac:dyDescent="0.25">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c r="AD294" s="69"/>
      <c r="AE294" s="69"/>
      <c r="AF294" s="69"/>
      <c r="AG294" s="69"/>
      <c r="AH294" s="69"/>
      <c r="AI294" s="69"/>
      <c r="AJ294" s="288">
        <v>2356657</v>
      </c>
      <c r="AK294" s="287">
        <v>124820</v>
      </c>
      <c r="AL294" s="259">
        <v>44003</v>
      </c>
      <c r="AM294" s="47" t="s">
        <v>580</v>
      </c>
      <c r="AP294" s="69"/>
      <c r="AQ294" s="69"/>
      <c r="AR294" s="69"/>
      <c r="AS294" s="69"/>
      <c r="AT294" s="69"/>
      <c r="AU294" s="69"/>
      <c r="AV294" s="69"/>
      <c r="AW294" s="69"/>
      <c r="AX294" s="69"/>
      <c r="AY294" s="69"/>
      <c r="AZ294" s="69"/>
      <c r="BA294" s="69"/>
      <c r="BB294" s="69"/>
      <c r="BC294" s="69"/>
      <c r="BD294" s="69"/>
      <c r="BE294" s="69"/>
    </row>
    <row r="295" spans="3:63" x14ac:dyDescent="0.25">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c r="AD295" s="69"/>
      <c r="AE295" s="69"/>
      <c r="AF295" s="69"/>
      <c r="AG295" s="69"/>
      <c r="AH295" s="69"/>
      <c r="AI295" s="69"/>
      <c r="AJ295" s="69"/>
      <c r="AK295" s="288">
        <v>2465403</v>
      </c>
      <c r="AL295" s="287">
        <v>126879</v>
      </c>
      <c r="AM295" s="259">
        <v>44006</v>
      </c>
      <c r="AN295" s="69" t="s">
        <v>633</v>
      </c>
      <c r="AO295" s="69"/>
      <c r="AP295" s="69"/>
      <c r="AQ295" s="69"/>
      <c r="AR295" s="69"/>
      <c r="AS295" s="69"/>
      <c r="AT295" s="69"/>
      <c r="AU295" s="69"/>
      <c r="AV295" s="69"/>
      <c r="AW295" s="69"/>
      <c r="AX295" s="69"/>
      <c r="AY295" s="69"/>
      <c r="AZ295" s="69"/>
      <c r="BA295" s="69"/>
      <c r="BB295" s="69"/>
      <c r="BC295" s="69"/>
      <c r="BD295" s="69"/>
      <c r="BE295" s="69"/>
    </row>
    <row r="296" spans="3:63" x14ac:dyDescent="0.25">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c r="AD296" s="69"/>
      <c r="AE296" s="69"/>
      <c r="AF296" s="69"/>
      <c r="AG296" s="69"/>
      <c r="AH296" s="69"/>
      <c r="AI296" s="69"/>
      <c r="AJ296" s="69"/>
      <c r="AK296" s="288">
        <v>2505615</v>
      </c>
      <c r="AL296" s="287">
        <v>127532</v>
      </c>
      <c r="AM296" s="165">
        <v>44007</v>
      </c>
      <c r="AN296" s="69" t="s">
        <v>636</v>
      </c>
      <c r="AO296" s="69"/>
      <c r="AP296" s="69"/>
      <c r="AQ296" s="69"/>
      <c r="AR296" s="69"/>
      <c r="AS296" s="69"/>
      <c r="AT296" s="69"/>
      <c r="AU296" s="69"/>
      <c r="AV296" s="69"/>
      <c r="AW296" s="69"/>
      <c r="AX296" s="69"/>
      <c r="AY296" s="69"/>
      <c r="AZ296" s="69"/>
      <c r="BA296" s="69"/>
      <c r="BB296" s="69"/>
      <c r="BC296" s="69"/>
      <c r="BD296" s="69"/>
      <c r="BE296" s="69"/>
    </row>
    <row r="297" spans="3:63" x14ac:dyDescent="0.25">
      <c r="AK297" s="288">
        <v>2505615</v>
      </c>
      <c r="AL297" s="287">
        <v>127532</v>
      </c>
      <c r="AM297" s="165">
        <v>44007</v>
      </c>
      <c r="AN297" s="69" t="s">
        <v>635</v>
      </c>
    </row>
    <row r="298" spans="3:63" x14ac:dyDescent="0.25">
      <c r="AK298" s="288">
        <v>2552956</v>
      </c>
      <c r="AL298" s="287">
        <v>128195</v>
      </c>
      <c r="AM298" s="214">
        <v>44008</v>
      </c>
      <c r="AN298" t="s">
        <v>631</v>
      </c>
    </row>
    <row r="299" spans="3:63" x14ac:dyDescent="0.25">
      <c r="AK299" s="288">
        <v>2552956</v>
      </c>
      <c r="AL299" s="287">
        <v>128195</v>
      </c>
      <c r="AM299" s="214">
        <v>44008</v>
      </c>
      <c r="AN299" t="s">
        <v>634</v>
      </c>
    </row>
    <row r="300" spans="3:63" x14ac:dyDescent="0.25">
      <c r="AK300" s="288">
        <v>2596537</v>
      </c>
      <c r="AL300" s="287">
        <v>128707</v>
      </c>
      <c r="AM300" s="214">
        <v>44009</v>
      </c>
      <c r="AN300" t="s">
        <v>630</v>
      </c>
    </row>
    <row r="301" spans="3:63" x14ac:dyDescent="0.25">
      <c r="AK301" s="288">
        <v>2637077</v>
      </c>
      <c r="AL301" s="287">
        <v>128992</v>
      </c>
      <c r="AM301" s="214">
        <v>44010</v>
      </c>
      <c r="AN301" t="s">
        <v>632</v>
      </c>
    </row>
    <row r="302" spans="3:63" x14ac:dyDescent="0.25">
      <c r="AK302" s="288">
        <v>2637077</v>
      </c>
      <c r="AL302" s="287">
        <v>128992</v>
      </c>
      <c r="AM302" s="214">
        <v>44010</v>
      </c>
      <c r="AN302" t="s">
        <v>637</v>
      </c>
    </row>
    <row r="303" spans="3:63" x14ac:dyDescent="0.25">
      <c r="AK303" s="288">
        <v>2637077</v>
      </c>
      <c r="AL303" s="287">
        <v>128992</v>
      </c>
      <c r="AM303" s="214">
        <v>44010</v>
      </c>
      <c r="AN303" t="s">
        <v>638</v>
      </c>
    </row>
    <row r="304" spans="3:63" x14ac:dyDescent="0.25">
      <c r="AG304" s="69"/>
      <c r="AH304" s="69"/>
      <c r="AI304" s="69"/>
      <c r="AJ304" s="69"/>
      <c r="AK304" s="288">
        <v>2681811</v>
      </c>
      <c r="AL304" s="287">
        <v>129358</v>
      </c>
      <c r="AM304" s="165">
        <v>44011</v>
      </c>
      <c r="AN304" s="69" t="s">
        <v>640</v>
      </c>
      <c r="AO304" s="69"/>
      <c r="AP304" s="69"/>
      <c r="AQ304" s="69"/>
      <c r="AR304" s="69"/>
      <c r="AS304" s="69"/>
    </row>
    <row r="305" spans="1:45" x14ac:dyDescent="0.25">
      <c r="AG305" s="69"/>
      <c r="AH305" s="69"/>
      <c r="AI305" s="69"/>
      <c r="AJ305" s="69"/>
      <c r="AK305" s="288">
        <v>2727853</v>
      </c>
      <c r="AL305" s="287">
        <v>130122</v>
      </c>
      <c r="AM305" s="165">
        <v>44012</v>
      </c>
      <c r="AN305" s="69" t="s">
        <v>641</v>
      </c>
      <c r="AO305" s="69"/>
      <c r="AP305" s="69"/>
      <c r="AQ305" s="69"/>
      <c r="AR305" s="69"/>
      <c r="AS305" s="69"/>
    </row>
    <row r="306" spans="1:45" x14ac:dyDescent="0.25">
      <c r="AK306" s="288">
        <v>2727853</v>
      </c>
      <c r="AL306" s="287">
        <v>130122</v>
      </c>
      <c r="AM306" s="165">
        <v>44012</v>
      </c>
      <c r="AN306" s="69" t="s">
        <v>643</v>
      </c>
    </row>
    <row r="307" spans="1:45" x14ac:dyDescent="0.25">
      <c r="AK307" s="288">
        <v>2727853</v>
      </c>
      <c r="AL307" s="287">
        <v>130122</v>
      </c>
      <c r="AM307" s="260">
        <v>44012</v>
      </c>
      <c r="AN307" s="69" t="s">
        <v>644</v>
      </c>
    </row>
    <row r="308" spans="1:45" x14ac:dyDescent="0.25">
      <c r="AK308" s="288">
        <v>2727853</v>
      </c>
      <c r="AL308" s="287">
        <v>130122</v>
      </c>
      <c r="AM308" s="214">
        <v>44012</v>
      </c>
      <c r="AN308" s="69" t="s">
        <v>645</v>
      </c>
    </row>
    <row r="309" spans="1:45" x14ac:dyDescent="0.25">
      <c r="AK309" s="288">
        <v>2779953</v>
      </c>
      <c r="AL309" s="287">
        <v>130798</v>
      </c>
      <c r="AM309" s="214">
        <v>44013</v>
      </c>
      <c r="AN309" s="69" t="s">
        <v>642</v>
      </c>
    </row>
    <row r="310" spans="1:45" s="69" customFormat="1" x14ac:dyDescent="0.25">
      <c r="AK310" s="288">
        <v>2779953</v>
      </c>
      <c r="AL310" s="287">
        <v>130798</v>
      </c>
      <c r="AM310" s="214">
        <v>44013</v>
      </c>
      <c r="AN310" s="69" t="s">
        <v>647</v>
      </c>
    </row>
    <row r="311" spans="1:45" s="69" customFormat="1" x14ac:dyDescent="0.25">
      <c r="AK311" s="288">
        <v>2779953</v>
      </c>
      <c r="AL311" s="287">
        <v>130798</v>
      </c>
      <c r="AM311" s="259">
        <v>44013</v>
      </c>
      <c r="AN311" s="69" t="s">
        <v>650</v>
      </c>
    </row>
    <row r="312" spans="1:45" s="69" customFormat="1" x14ac:dyDescent="0.25">
      <c r="AK312" s="288">
        <v>2779953</v>
      </c>
      <c r="AL312" s="287">
        <v>130798</v>
      </c>
      <c r="AM312" s="259">
        <v>44013</v>
      </c>
      <c r="AN312" s="69" t="s">
        <v>646</v>
      </c>
    </row>
    <row r="313" spans="1:45" x14ac:dyDescent="0.25">
      <c r="AL313" s="288">
        <v>2890588</v>
      </c>
      <c r="AM313" s="287">
        <v>132101</v>
      </c>
      <c r="AN313" s="259">
        <v>44015</v>
      </c>
      <c r="AO313" s="69" t="s">
        <v>648</v>
      </c>
    </row>
    <row r="314" spans="1:45" x14ac:dyDescent="0.25">
      <c r="AL314" s="288">
        <v>2890588</v>
      </c>
      <c r="AM314" s="287">
        <v>132101</v>
      </c>
      <c r="AN314" s="259">
        <v>44015</v>
      </c>
      <c r="AO314" s="69" t="s">
        <v>649</v>
      </c>
    </row>
    <row r="316" spans="1:45" x14ac:dyDescent="0.25">
      <c r="A316" s="4" t="s">
        <v>188</v>
      </c>
      <c r="B316" s="218">
        <v>330565500</v>
      </c>
    </row>
    <row r="317" spans="1:45" x14ac:dyDescent="0.25">
      <c r="A317" s="4"/>
      <c r="B317" s="286"/>
    </row>
    <row r="318" spans="1:45" x14ac:dyDescent="0.25">
      <c r="A318" s="4"/>
      <c r="B318" s="286"/>
    </row>
    <row r="319" spans="1:45" x14ac:dyDescent="0.25">
      <c r="A319" s="57" t="s">
        <v>381</v>
      </c>
      <c r="B319" s="281">
        <v>1.4E-2</v>
      </c>
    </row>
    <row r="320" spans="1:45" s="69" customFormat="1" x14ac:dyDescent="0.25">
      <c r="A320" s="62"/>
      <c r="B320" s="169"/>
      <c r="C320" s="69" t="s">
        <v>299</v>
      </c>
    </row>
    <row r="321" spans="1:67" s="69" customFormat="1" x14ac:dyDescent="0.25">
      <c r="A321" s="62"/>
      <c r="B321" s="169"/>
    </row>
    <row r="322" spans="1:67" x14ac:dyDescent="0.25">
      <c r="A322" s="4" t="s">
        <v>112</v>
      </c>
      <c r="B322" s="155">
        <f>B319/B330</f>
        <v>0.30434782608695654</v>
      </c>
      <c r="C322" t="s">
        <v>382</v>
      </c>
      <c r="D322" s="69"/>
      <c r="E322" s="69"/>
      <c r="G322" s="69"/>
      <c r="H322" s="69"/>
      <c r="I322" s="69"/>
      <c r="J322" s="69"/>
      <c r="K322" s="69"/>
      <c r="L322" s="69"/>
      <c r="M322" s="69"/>
      <c r="N322" s="69"/>
      <c r="O322" s="69"/>
      <c r="P322" s="69"/>
      <c r="Q322" s="69"/>
      <c r="R322" s="69"/>
      <c r="S322" s="165"/>
      <c r="T322" s="69"/>
      <c r="U322" s="165"/>
      <c r="X322" s="195"/>
      <c r="Y322" s="16"/>
    </row>
    <row r="323" spans="1:67" x14ac:dyDescent="0.25">
      <c r="A323" s="37" t="s">
        <v>114</v>
      </c>
      <c r="B323" s="114">
        <v>7.0000000000000007E-2</v>
      </c>
      <c r="C323" s="242"/>
      <c r="D323" s="69"/>
      <c r="E323" s="69"/>
      <c r="F323" s="69"/>
      <c r="G323" s="69"/>
      <c r="H323" s="69"/>
      <c r="I323" s="69"/>
      <c r="J323" s="69"/>
      <c r="K323" s="69"/>
      <c r="L323" s="69"/>
      <c r="M323" s="69"/>
      <c r="N323" s="69"/>
      <c r="O323" s="69"/>
      <c r="P323" s="69"/>
      <c r="Q323" s="69"/>
      <c r="R323" s="69"/>
      <c r="S323" s="69"/>
      <c r="T323" s="165"/>
      <c r="U323" s="165"/>
      <c r="V323" s="69"/>
      <c r="W323" s="69"/>
      <c r="X323" s="16"/>
      <c r="Y323" s="16"/>
    </row>
    <row r="324" spans="1:67" x14ac:dyDescent="0.25">
      <c r="A324" s="4" t="s">
        <v>177</v>
      </c>
      <c r="B324" s="243">
        <v>2.4</v>
      </c>
      <c r="C324" s="64">
        <f>(B316/1000)*B324</f>
        <v>793357.2</v>
      </c>
      <c r="D324" s="69"/>
      <c r="E324" s="69"/>
      <c r="F324" s="69"/>
      <c r="G324" s="69"/>
      <c r="H324" s="69"/>
      <c r="I324" s="69"/>
      <c r="J324" s="69"/>
      <c r="K324" s="69"/>
      <c r="L324" s="69"/>
      <c r="M324" s="69"/>
      <c r="N324" s="69"/>
      <c r="O324" s="69"/>
      <c r="P324" s="69"/>
      <c r="Q324" s="69"/>
      <c r="R324" s="69"/>
      <c r="S324" s="69"/>
      <c r="T324" s="69"/>
      <c r="U324" s="69"/>
      <c r="V324" s="69"/>
      <c r="W324" s="69"/>
      <c r="X324" s="16"/>
      <c r="Y324" s="16"/>
      <c r="AA324" s="120"/>
    </row>
    <row r="325" spans="1:67" x14ac:dyDescent="0.25">
      <c r="A325" s="37" t="s">
        <v>178</v>
      </c>
      <c r="B325" s="244">
        <v>34.700000000000003</v>
      </c>
      <c r="C325" s="61">
        <f>(B316/100000)*B325</f>
        <v>114706.22850000001</v>
      </c>
      <c r="D325" s="69"/>
      <c r="E325" s="69"/>
      <c r="F325" s="69"/>
      <c r="G325" s="69"/>
      <c r="H325" s="69"/>
      <c r="I325" s="69"/>
      <c r="J325" s="69"/>
      <c r="K325" s="69"/>
      <c r="L325" s="69"/>
      <c r="M325" s="69"/>
      <c r="N325" s="69"/>
      <c r="O325" s="69"/>
      <c r="P325" s="69"/>
      <c r="Q325" s="69"/>
      <c r="R325" s="69"/>
      <c r="S325" s="69"/>
      <c r="T325" s="69"/>
      <c r="U325" s="69"/>
      <c r="V325" s="150"/>
      <c r="W325" s="69"/>
      <c r="AN325" s="69"/>
    </row>
    <row r="326" spans="1:67" x14ac:dyDescent="0.25">
      <c r="A326" s="41"/>
      <c r="B326" s="275"/>
      <c r="C326" s="10"/>
      <c r="D326" s="69"/>
      <c r="E326" s="69"/>
      <c r="F326" s="69"/>
      <c r="G326" s="69"/>
      <c r="H326" s="69"/>
      <c r="I326" s="69"/>
      <c r="J326" s="69"/>
      <c r="K326" s="69"/>
      <c r="L326" s="69"/>
      <c r="M326" s="69"/>
      <c r="N326" s="69"/>
      <c r="O326" s="69"/>
      <c r="P326" s="69"/>
      <c r="Q326" s="69"/>
      <c r="R326" s="69"/>
      <c r="S326" s="69"/>
      <c r="T326" s="69"/>
      <c r="U326" s="69"/>
      <c r="V326" s="150"/>
      <c r="W326" s="69"/>
      <c r="AN326" s="69"/>
    </row>
    <row r="327" spans="1:67" x14ac:dyDescent="0.25">
      <c r="A327" s="4" t="s">
        <v>73</v>
      </c>
      <c r="B327" s="112">
        <v>0.81</v>
      </c>
      <c r="C327" s="2"/>
      <c r="D327" s="69"/>
      <c r="E327" s="69"/>
      <c r="F327" s="69"/>
      <c r="G327" s="69"/>
      <c r="H327" s="69"/>
      <c r="I327" s="69"/>
      <c r="J327" s="69"/>
      <c r="K327" s="69"/>
      <c r="L327" s="69"/>
      <c r="M327" s="69"/>
      <c r="N327" s="69"/>
      <c r="O327" s="69"/>
      <c r="P327" s="69"/>
      <c r="Q327" s="69"/>
      <c r="R327" s="69"/>
      <c r="S327" s="69"/>
      <c r="T327" s="69"/>
      <c r="U327" s="69"/>
      <c r="Z327" s="214"/>
      <c r="AC327" s="247"/>
    </row>
    <row r="328" spans="1:67" x14ac:dyDescent="0.25">
      <c r="A328" s="41" t="s">
        <v>74</v>
      </c>
      <c r="B328" s="113">
        <v>0.14000000000000001</v>
      </c>
      <c r="C328" s="2"/>
      <c r="D328" s="69"/>
      <c r="E328" s="69"/>
      <c r="F328" s="69"/>
      <c r="G328" s="69"/>
      <c r="H328" s="69"/>
      <c r="I328" s="69"/>
      <c r="J328" s="69"/>
      <c r="K328" s="69"/>
      <c r="L328" s="69"/>
      <c r="M328" s="69"/>
      <c r="N328" s="69"/>
      <c r="O328" s="69"/>
      <c r="P328" s="69"/>
      <c r="Q328" s="69"/>
      <c r="R328" s="69"/>
      <c r="S328" s="69"/>
      <c r="T328" s="69"/>
      <c r="U328" s="47"/>
      <c r="V328" s="69"/>
      <c r="W328" s="165"/>
      <c r="AC328" s="214"/>
      <c r="AV328" s="247"/>
      <c r="AW328" s="247"/>
      <c r="AX328" s="247"/>
      <c r="AY328" s="247"/>
      <c r="AZ328" s="247"/>
    </row>
    <row r="329" spans="1:67" x14ac:dyDescent="0.25">
      <c r="A329" s="37" t="s">
        <v>108</v>
      </c>
      <c r="B329" s="114">
        <v>0.05</v>
      </c>
      <c r="C329" s="2"/>
      <c r="D329" s="209" t="s">
        <v>167</v>
      </c>
      <c r="T329" s="16"/>
      <c r="U329" s="16"/>
      <c r="V329" s="251"/>
      <c r="W329" s="16"/>
      <c r="AE329" s="2"/>
      <c r="AJ329" s="214"/>
      <c r="AK329" s="214"/>
      <c r="BA329" s="175"/>
      <c r="BB329" s="175"/>
      <c r="BC329" s="175"/>
      <c r="BD329" s="175"/>
      <c r="BE329" s="175"/>
      <c r="BF329" s="175"/>
      <c r="BG329" s="175"/>
      <c r="BH329" s="175"/>
      <c r="BI329" s="175"/>
      <c r="BJ329" s="175"/>
    </row>
    <row r="330" spans="1:67" x14ac:dyDescent="0.25">
      <c r="A330" s="37" t="s">
        <v>113</v>
      </c>
      <c r="B330" s="65">
        <v>4.5999999999999999E-2</v>
      </c>
      <c r="C330" s="2"/>
      <c r="D330" s="179" t="s">
        <v>159</v>
      </c>
      <c r="U330" s="16"/>
      <c r="V330" s="16"/>
      <c r="W330" s="16"/>
      <c r="AI330" s="214"/>
      <c r="AJ330" s="214"/>
      <c r="AV330" s="176"/>
      <c r="AW330" s="176"/>
      <c r="AX330" s="176"/>
      <c r="AY330" s="176"/>
      <c r="AZ330" s="176"/>
    </row>
    <row r="331" spans="1:67" x14ac:dyDescent="0.25">
      <c r="A331" s="153" t="s">
        <v>297</v>
      </c>
      <c r="B331" s="154">
        <v>43851</v>
      </c>
      <c r="C331" s="2"/>
      <c r="D331" s="248">
        <f>(BA334-P334)/(LOG(BA335/P335)/LOG(2))</f>
        <v>33.368421052631582</v>
      </c>
      <c r="E331" s="175"/>
      <c r="L331" s="214"/>
      <c r="M331" s="214"/>
      <c r="N331" s="214"/>
      <c r="S331" s="16"/>
      <c r="T331" s="16"/>
      <c r="U331" s="16"/>
      <c r="V331" s="16"/>
      <c r="W331" s="16"/>
      <c r="AC331" t="s">
        <v>328</v>
      </c>
      <c r="AK331" s="214"/>
      <c r="AL331" s="214"/>
    </row>
    <row r="332" spans="1:67" x14ac:dyDescent="0.25">
      <c r="A332" s="16"/>
      <c r="B332" s="50" t="s">
        <v>54</v>
      </c>
      <c r="C332" s="10"/>
      <c r="D332" s="16"/>
      <c r="E332" s="16"/>
      <c r="F332" s="16"/>
      <c r="G332" s="16"/>
      <c r="H332" s="16"/>
      <c r="I332" s="16"/>
      <c r="J332" s="16"/>
      <c r="K332" s="16"/>
      <c r="L332" s="16"/>
      <c r="M332" s="16"/>
      <c r="N332" s="16"/>
      <c r="O332" s="16"/>
      <c r="Q332" s="16"/>
      <c r="R332" s="16"/>
      <c r="S332" s="16"/>
      <c r="T332" s="16"/>
      <c r="U332" s="16"/>
      <c r="V332" s="16"/>
      <c r="W332" s="16"/>
      <c r="X332" s="16"/>
      <c r="Y332" s="16"/>
      <c r="Z332" s="16"/>
      <c r="AA332" s="16"/>
      <c r="AB332" s="16"/>
      <c r="AC332" s="16"/>
      <c r="AD332" s="16"/>
      <c r="AE332" s="16"/>
      <c r="AF332" s="16" t="s">
        <v>289</v>
      </c>
      <c r="AG332" s="16"/>
      <c r="AH332" s="16"/>
      <c r="AI332" s="16"/>
      <c r="AJ332" s="16"/>
      <c r="AK332" s="16"/>
      <c r="AL332" s="16" t="s">
        <v>582</v>
      </c>
      <c r="AM332" s="16"/>
      <c r="AN332" s="16"/>
      <c r="AO332" s="16"/>
      <c r="AP332" s="16"/>
      <c r="AQ332" s="16"/>
      <c r="AR332" s="16"/>
      <c r="AS332" s="16"/>
      <c r="AT332" s="16"/>
      <c r="AU332" s="16"/>
      <c r="BL332" s="152"/>
    </row>
    <row r="333" spans="1:67" x14ac:dyDescent="0.25">
      <c r="A333" s="53" t="s">
        <v>41</v>
      </c>
      <c r="B333" s="189">
        <v>43882</v>
      </c>
      <c r="C333" s="189">
        <v>43890</v>
      </c>
      <c r="D333" s="189">
        <v>43893</v>
      </c>
      <c r="E333" s="189">
        <v>43895</v>
      </c>
      <c r="F333" s="189">
        <v>43904</v>
      </c>
      <c r="G333" s="189">
        <v>43912</v>
      </c>
      <c r="H333" s="189">
        <v>43918</v>
      </c>
      <c r="I333" s="189">
        <v>43923</v>
      </c>
      <c r="J333" s="189">
        <v>43932</v>
      </c>
      <c r="K333" s="189">
        <v>43948</v>
      </c>
      <c r="L333" s="189">
        <f>K333+K334</f>
        <v>43991</v>
      </c>
      <c r="M333" s="189">
        <f>L333+L334</f>
        <v>44066</v>
      </c>
      <c r="N333" s="189">
        <f>M333+M334</f>
        <v>44216</v>
      </c>
      <c r="O333" s="189"/>
      <c r="Q333" s="133" t="s">
        <v>298</v>
      </c>
      <c r="R333" s="16"/>
      <c r="S333" s="16"/>
      <c r="T333" s="16"/>
      <c r="U333" s="16"/>
      <c r="V333" s="16"/>
      <c r="W333" s="16"/>
      <c r="X333" s="16"/>
      <c r="Y333" s="182"/>
      <c r="Z333" s="16"/>
      <c r="AA333" s="16"/>
      <c r="AB333" s="16"/>
      <c r="AC333" s="16" t="s">
        <v>264</v>
      </c>
      <c r="AG333" t="s">
        <v>300</v>
      </c>
      <c r="AL333" s="16"/>
      <c r="AM333" s="16" t="s">
        <v>581</v>
      </c>
      <c r="AN333" s="16"/>
      <c r="AO333" s="16"/>
      <c r="AP333" s="16"/>
      <c r="AQ333" s="16"/>
      <c r="AR333" s="16"/>
      <c r="AS333" s="16"/>
      <c r="AT333" s="16"/>
      <c r="AU333" s="16"/>
      <c r="BF333" s="209" t="s">
        <v>168</v>
      </c>
      <c r="BL333" s="246" t="s">
        <v>187</v>
      </c>
    </row>
    <row r="334" spans="1:67" x14ac:dyDescent="0.25">
      <c r="A334" s="4" t="s">
        <v>11</v>
      </c>
      <c r="B334" s="84">
        <v>8</v>
      </c>
      <c r="C334" s="157">
        <v>3</v>
      </c>
      <c r="D334" s="250">
        <v>2</v>
      </c>
      <c r="E334" s="157">
        <v>3</v>
      </c>
      <c r="F334" s="250">
        <v>2</v>
      </c>
      <c r="G334" s="157">
        <v>3</v>
      </c>
      <c r="H334" s="156">
        <v>5</v>
      </c>
      <c r="I334" s="249">
        <v>9</v>
      </c>
      <c r="J334">
        <v>16</v>
      </c>
      <c r="K334">
        <v>43</v>
      </c>
      <c r="L334">
        <v>75</v>
      </c>
      <c r="M334">
        <f>L334*2</f>
        <v>150</v>
      </c>
      <c r="N334">
        <f>M334*2</f>
        <v>300</v>
      </c>
      <c r="O334" s="217"/>
      <c r="P334" s="265">
        <v>43882</v>
      </c>
      <c r="Q334" s="266">
        <f t="shared" ref="Q334:AD334" si="0">P334+HLOOKUP(P334+1, $B$333:$O$334,2,TRUE)</f>
        <v>43890</v>
      </c>
      <c r="R334" s="267">
        <f t="shared" si="0"/>
        <v>43893</v>
      </c>
      <c r="S334" s="266">
        <f t="shared" si="0"/>
        <v>43895</v>
      </c>
      <c r="T334" s="266">
        <f t="shared" si="0"/>
        <v>43898</v>
      </c>
      <c r="U334" s="266">
        <f t="shared" si="0"/>
        <v>43901</v>
      </c>
      <c r="V334" s="267">
        <f t="shared" si="0"/>
        <v>43904</v>
      </c>
      <c r="W334" s="267">
        <f t="shared" si="0"/>
        <v>43906</v>
      </c>
      <c r="X334" s="267">
        <f t="shared" si="0"/>
        <v>43908</v>
      </c>
      <c r="Y334" s="267">
        <f t="shared" si="0"/>
        <v>43910</v>
      </c>
      <c r="Z334" s="266">
        <f t="shared" si="0"/>
        <v>43912</v>
      </c>
      <c r="AA334" s="268">
        <f t="shared" si="0"/>
        <v>43915</v>
      </c>
      <c r="AB334" s="268">
        <f t="shared" si="0"/>
        <v>43918</v>
      </c>
      <c r="AC334" s="269">
        <f t="shared" si="0"/>
        <v>43923</v>
      </c>
      <c r="AD334" s="270">
        <f t="shared" si="0"/>
        <v>43932</v>
      </c>
      <c r="AE334" s="271">
        <f>$AD$334+(($AH$334-$AD$334)*0.25)</f>
        <v>43936</v>
      </c>
      <c r="AF334" s="271">
        <f>$AD$334+(($AH$334-$AD$334)*0.5)</f>
        <v>43940</v>
      </c>
      <c r="AG334" s="271">
        <f>$AD$334+(($AH$334-$AD$334)*0.75)</f>
        <v>43944</v>
      </c>
      <c r="AH334" s="270">
        <f>AD334+HLOOKUP(AD334+1, $B$333:$O$334,2,TRUE)</f>
        <v>43948</v>
      </c>
      <c r="AI334" s="271">
        <f>$AH$334+(($AL$334-$AH$334)*0.25)</f>
        <v>43958.75</v>
      </c>
      <c r="AJ334" s="271">
        <f>$AH$334+(($AL$334-$AH$334)*0.5)</f>
        <v>43969.5</v>
      </c>
      <c r="AK334" s="271">
        <f>$AH$334+(($AL$334-$AH$334)*0.77)</f>
        <v>43981.11</v>
      </c>
      <c r="AL334" s="270">
        <f>AH334+HLOOKUP(AH334+1, $B$333:$O$334,2,TRUE)</f>
        <v>43991</v>
      </c>
      <c r="AM334" s="271">
        <f>$AL$334+(($AQ$334-$AL$334)*0.2)</f>
        <v>44006</v>
      </c>
      <c r="AN334" s="343">
        <f>$AL$334+(($AQ$334-$AL$334)*0.33)</f>
        <v>44015.75</v>
      </c>
      <c r="AO334" s="273">
        <f>$AL$334+(($AQ$334-$AL$334)*0.6)</f>
        <v>44036</v>
      </c>
      <c r="AP334" s="273">
        <f>$AL$334+(($AQ$334-$AL$334)*0.8)</f>
        <v>44051</v>
      </c>
      <c r="AQ334" s="224">
        <f>AL334+HLOOKUP(AL334+1, $B$333:$O$334,2,TRUE)</f>
        <v>44066</v>
      </c>
      <c r="AR334" s="273">
        <f>$AQ$334+(($AV$334-$AQ$334)*0.2)</f>
        <v>44096</v>
      </c>
      <c r="AS334" s="273">
        <f>$AQ$334+(($AV$334-$AQ$334)*0.4)</f>
        <v>44126</v>
      </c>
      <c r="AT334" s="273">
        <f>$AQ$334+(($AV$334-$AQ$334)*0.6)</f>
        <v>44156</v>
      </c>
      <c r="AU334" s="273">
        <f>$AQ$334+(($AV$334-$AQ$334)*0.8)</f>
        <v>44186</v>
      </c>
      <c r="AV334" s="224">
        <f>AQ334+HLOOKUP(AQ334+1, $B$333:$O$334,2,TRUE)</f>
        <v>44216</v>
      </c>
      <c r="AW334" s="273">
        <f>$AV$334+(($BA$334-$AV$334)*0.2)</f>
        <v>44276</v>
      </c>
      <c r="AX334" s="273">
        <f>$AV$334+(($BA$334-$AV$334)*0.4)</f>
        <v>44336</v>
      </c>
      <c r="AY334" s="273">
        <f>$AV$334+(($BA$334-$AV$334)*0.6)</f>
        <v>44396</v>
      </c>
      <c r="AZ334" s="273">
        <f>$AV$334+(($BA$334-$AV$334)*0.8)</f>
        <v>44456</v>
      </c>
      <c r="BA334" s="224">
        <f>AV334+HLOOKUP(AV334+1, $B$333:$O$334,2,TRUE)</f>
        <v>44516</v>
      </c>
      <c r="BB334" s="273">
        <f>($BA$334+(($BF$334-$BA$334)*0.2))</f>
        <v>44576</v>
      </c>
      <c r="BC334" s="273">
        <f>($BA$334+(($BF$334-$BA$334)*0.4))</f>
        <v>44636</v>
      </c>
      <c r="BD334" s="273">
        <f>($BA$334+(($BF$334-$BA$334)*0.6))</f>
        <v>44696</v>
      </c>
      <c r="BE334" s="273">
        <f>($BA$334+(($BF$334-$BA$334)*0.8))</f>
        <v>44756</v>
      </c>
      <c r="BF334" s="224">
        <f>BA334+HLOOKUP(BA334+1, $B$333:$O$334,2,TRUE)</f>
        <v>44816</v>
      </c>
      <c r="BG334" s="354">
        <f t="shared" ref="BG334:BK334" si="1">BF334+HLOOKUP(BF334+1, $B$333:$O$334,2,TRUE)</f>
        <v>45116</v>
      </c>
      <c r="BH334" s="224">
        <f t="shared" si="1"/>
        <v>45416</v>
      </c>
      <c r="BI334" s="224">
        <f t="shared" si="1"/>
        <v>45716</v>
      </c>
      <c r="BJ334" s="233">
        <f t="shared" si="1"/>
        <v>46016</v>
      </c>
      <c r="BK334" s="233">
        <f t="shared" si="1"/>
        <v>46316</v>
      </c>
      <c r="BL334" s="245">
        <f>BK334+(7*8)</f>
        <v>46372</v>
      </c>
      <c r="BM334" s="70"/>
      <c r="BN334" s="70"/>
      <c r="BO334" s="69"/>
    </row>
    <row r="335" spans="1:67" x14ac:dyDescent="0.25">
      <c r="A335" s="41" t="s">
        <v>106</v>
      </c>
      <c r="B335" s="16"/>
      <c r="C335" s="16"/>
      <c r="D335" s="16"/>
      <c r="E335" s="16"/>
      <c r="F335" s="16"/>
      <c r="G335" s="16"/>
      <c r="H335" s="16"/>
      <c r="I335" s="16"/>
      <c r="J335" s="16"/>
      <c r="K335" s="16"/>
      <c r="L335" s="16"/>
      <c r="M335" s="16"/>
      <c r="N335" s="16"/>
      <c r="O335" s="16"/>
      <c r="P335" s="262">
        <v>31.25</v>
      </c>
      <c r="Q335" s="263">
        <f>P335*2</f>
        <v>62.5</v>
      </c>
      <c r="R335" s="263">
        <f t="shared" ref="R335:AD335" si="2">Q335*2</f>
        <v>125</v>
      </c>
      <c r="S335" s="263">
        <f t="shared" si="2"/>
        <v>250</v>
      </c>
      <c r="T335" s="263">
        <f t="shared" si="2"/>
        <v>500</v>
      </c>
      <c r="U335" s="263">
        <f t="shared" si="2"/>
        <v>1000</v>
      </c>
      <c r="V335" s="263">
        <f t="shared" si="2"/>
        <v>2000</v>
      </c>
      <c r="W335" s="263">
        <f t="shared" si="2"/>
        <v>4000</v>
      </c>
      <c r="X335" s="263">
        <f t="shared" si="2"/>
        <v>8000</v>
      </c>
      <c r="Y335" s="263">
        <f>X335*2</f>
        <v>16000</v>
      </c>
      <c r="Z335" s="263">
        <f>Y335*2</f>
        <v>32000</v>
      </c>
      <c r="AA335" s="263">
        <f>Z335*2</f>
        <v>64000</v>
      </c>
      <c r="AB335" s="263">
        <f>AA335*2</f>
        <v>128000</v>
      </c>
      <c r="AC335" s="263">
        <f t="shared" si="2"/>
        <v>256000</v>
      </c>
      <c r="AD335" s="263">
        <f t="shared" si="2"/>
        <v>512000</v>
      </c>
      <c r="AE335" s="263">
        <f>$AD$335+(($AH$335-$AD$335)*0.25)</f>
        <v>640000</v>
      </c>
      <c r="AF335" s="263">
        <f>$AD$335+(($AH$335-$AD$335)*0.5)</f>
        <v>768000</v>
      </c>
      <c r="AG335" s="263">
        <f>$AD$335+(($AH$335-$AD$335)*0.75)</f>
        <v>896000</v>
      </c>
      <c r="AH335" s="263">
        <f>AD335*2</f>
        <v>1024000</v>
      </c>
      <c r="AI335" s="263">
        <f>$AH$335+(($AL$335-$AH$335)*0.28)</f>
        <v>1310720</v>
      </c>
      <c r="AJ335" s="263">
        <f>$AH$335+(($AL$335-$AH$335)*0.5)</f>
        <v>1536000</v>
      </c>
      <c r="AK335" s="263">
        <f>$AH$335+(($AL$335-$AH$335)*0.75)</f>
        <v>1792000</v>
      </c>
      <c r="AL335" s="263">
        <f>AH335*2</f>
        <v>2048000</v>
      </c>
      <c r="AM335" s="263">
        <f>$AL$335+(($AQ$335-$AL$335)*0.2)</f>
        <v>2457600</v>
      </c>
      <c r="AN335" s="263">
        <f>$AL$335+(($AQ$335-$AL$335)*0.4)</f>
        <v>2867200</v>
      </c>
      <c r="AO335" s="263">
        <f>$AL$335+(($AQ$335-$AL$335)*0.6)</f>
        <v>3276800</v>
      </c>
      <c r="AP335" s="263">
        <f>$AL$335+(($AQ$335-$AL$335)*0.8)</f>
        <v>3686400</v>
      </c>
      <c r="AQ335" s="263">
        <f>AL335*2</f>
        <v>4096000</v>
      </c>
      <c r="AR335" s="263">
        <f>$AQ$335+(($AV$335-$AQ$335)*0.2)</f>
        <v>4915200</v>
      </c>
      <c r="AS335" s="263">
        <f>$AQ$335+(($AV$335-$AQ$335)*0.4)</f>
        <v>5734400</v>
      </c>
      <c r="AT335" s="263">
        <f>$AQ$335+(($AV$335-$AQ$335)*0.6)</f>
        <v>6553600</v>
      </c>
      <c r="AU335" s="263">
        <f>$AQ$335+(($AV$335-$AQ$335)*0.8)</f>
        <v>7372800</v>
      </c>
      <c r="AV335" s="263">
        <f>AQ335*2</f>
        <v>8192000</v>
      </c>
      <c r="AW335" s="263">
        <f>$AV$335+(($BA$335-$AV$335)*0.2)</f>
        <v>9830400</v>
      </c>
      <c r="AX335" s="263">
        <f>$AV$335+(($BA$335-$AV$335)*0.4)</f>
        <v>11468800</v>
      </c>
      <c r="AY335" s="263">
        <f>$AV$335+(($BA$335-$AV$335)*0.6)</f>
        <v>13107200</v>
      </c>
      <c r="AZ335" s="263">
        <f>$AV$335+(($BA$335-$AV$335)*0.8)</f>
        <v>14745600</v>
      </c>
      <c r="BA335" s="263">
        <f>AV335*2</f>
        <v>16384000</v>
      </c>
      <c r="BB335" s="263">
        <f>$BA$335+(($BF$335-$BA$335)*0.2)</f>
        <v>19660800</v>
      </c>
      <c r="BC335" s="263">
        <f>$BA$335+(($BF$335-$BA$335)*0.4)</f>
        <v>22937600</v>
      </c>
      <c r="BD335" s="263">
        <f>$BA$335+(($BF$335-$BA$335)*0.6)</f>
        <v>26214400</v>
      </c>
      <c r="BE335" s="263">
        <f>$BA$335+(($BF$335-$BA$335)*0.8)</f>
        <v>29491200</v>
      </c>
      <c r="BF335" s="263">
        <f>BA335*2</f>
        <v>32768000</v>
      </c>
      <c r="BG335" s="234">
        <f t="shared" ref="BG335:BI335" si="3">BF335*2</f>
        <v>65536000</v>
      </c>
      <c r="BH335" s="205">
        <f t="shared" si="3"/>
        <v>131072000</v>
      </c>
      <c r="BI335" s="205">
        <f t="shared" si="3"/>
        <v>262144000</v>
      </c>
      <c r="BJ335" s="206">
        <f>B316</f>
        <v>330565500</v>
      </c>
      <c r="BK335" s="206">
        <f>B316</f>
        <v>330565500</v>
      </c>
      <c r="BL335" s="350">
        <f>B316*BL336</f>
        <v>23139585.000000004</v>
      </c>
      <c r="BM335" s="45"/>
      <c r="BN335" s="45"/>
      <c r="BO335" s="69"/>
    </row>
    <row r="336" spans="1:67" x14ac:dyDescent="0.25">
      <c r="A336" s="41" t="s">
        <v>107</v>
      </c>
      <c r="B336" s="16"/>
      <c r="C336" s="16"/>
      <c r="D336" s="16"/>
      <c r="E336" s="16"/>
      <c r="F336" s="16"/>
      <c r="G336" s="16"/>
      <c r="H336" s="16"/>
      <c r="I336" s="16"/>
      <c r="J336" s="16"/>
      <c r="K336" s="16"/>
      <c r="L336" s="16"/>
      <c r="M336" s="16"/>
      <c r="N336" s="16"/>
      <c r="O336" s="16"/>
      <c r="P336" s="215">
        <f t="shared" ref="P336:BK336" si="4">P335/$B$316</f>
        <v>9.453497113280122E-8</v>
      </c>
      <c r="Q336" s="216">
        <f t="shared" si="4"/>
        <v>1.8906994226560244E-7</v>
      </c>
      <c r="R336" s="216">
        <f t="shared" si="4"/>
        <v>3.7813988453120488E-7</v>
      </c>
      <c r="S336" s="193">
        <f t="shared" si="4"/>
        <v>7.5627976906240976E-7</v>
      </c>
      <c r="T336" s="193">
        <f t="shared" si="4"/>
        <v>1.5125595381248195E-6</v>
      </c>
      <c r="U336" s="193">
        <f t="shared" si="4"/>
        <v>3.025119076249639E-6</v>
      </c>
      <c r="V336" s="193">
        <f t="shared" si="4"/>
        <v>6.0502381524992781E-6</v>
      </c>
      <c r="W336" s="66">
        <f t="shared" si="4"/>
        <v>1.2100476304998556E-5</v>
      </c>
      <c r="X336" s="36">
        <f t="shared" si="4"/>
        <v>2.4200952609997112E-5</v>
      </c>
      <c r="Y336" s="36">
        <f t="shared" si="4"/>
        <v>4.8401905219994225E-5</v>
      </c>
      <c r="Z336" s="36">
        <f t="shared" si="4"/>
        <v>9.6803810439988449E-5</v>
      </c>
      <c r="AA336" s="36">
        <f t="shared" si="4"/>
        <v>1.936076208799769E-4</v>
      </c>
      <c r="AB336" s="36">
        <f t="shared" si="4"/>
        <v>3.872152417599538E-4</v>
      </c>
      <c r="AC336" s="14">
        <f t="shared" si="4"/>
        <v>7.7443048351990759E-4</v>
      </c>
      <c r="AD336" s="14">
        <f t="shared" si="4"/>
        <v>1.5488609670398152E-3</v>
      </c>
      <c r="AE336" s="14">
        <f t="shared" si="4"/>
        <v>1.9360762087997688E-3</v>
      </c>
      <c r="AF336" s="14">
        <f t="shared" si="4"/>
        <v>2.3232914505597227E-3</v>
      </c>
      <c r="AG336" s="14">
        <f t="shared" si="4"/>
        <v>2.7105066923196765E-3</v>
      </c>
      <c r="AH336" s="14">
        <f t="shared" si="4"/>
        <v>3.0977219340796304E-3</v>
      </c>
      <c r="AI336" s="14">
        <f t="shared" si="4"/>
        <v>3.9650840756219269E-3</v>
      </c>
      <c r="AJ336" s="14">
        <f t="shared" si="4"/>
        <v>4.6465829011194454E-3</v>
      </c>
      <c r="AK336" s="14">
        <f t="shared" si="4"/>
        <v>5.4210133846393531E-3</v>
      </c>
      <c r="AL336" s="14">
        <f t="shared" si="4"/>
        <v>6.1954438681592608E-3</v>
      </c>
      <c r="AM336" s="15">
        <f t="shared" si="4"/>
        <v>7.4345326417911122E-3</v>
      </c>
      <c r="AN336" s="15">
        <f t="shared" si="4"/>
        <v>8.6736214154229645E-3</v>
      </c>
      <c r="AO336" s="15">
        <f t="shared" si="4"/>
        <v>9.9127101890548169E-3</v>
      </c>
      <c r="AP336" s="15">
        <f t="shared" si="4"/>
        <v>1.1151798962686669E-2</v>
      </c>
      <c r="AQ336" s="15">
        <f t="shared" si="4"/>
        <v>1.2390887736318522E-2</v>
      </c>
      <c r="AR336" s="15">
        <f t="shared" si="4"/>
        <v>1.4869065283582224E-2</v>
      </c>
      <c r="AS336" s="15">
        <f t="shared" si="4"/>
        <v>1.7347242830845929E-2</v>
      </c>
      <c r="AT336" s="15">
        <f t="shared" si="4"/>
        <v>1.9825420378109634E-2</v>
      </c>
      <c r="AU336" s="15">
        <f t="shared" si="4"/>
        <v>2.2303597925373338E-2</v>
      </c>
      <c r="AV336" s="15">
        <f t="shared" si="4"/>
        <v>2.4781775472637043E-2</v>
      </c>
      <c r="AW336" s="15">
        <f t="shared" si="4"/>
        <v>2.9738130567164449E-2</v>
      </c>
      <c r="AX336" s="15">
        <f t="shared" si="4"/>
        <v>3.4694485661691858E-2</v>
      </c>
      <c r="AY336" s="15">
        <f t="shared" si="4"/>
        <v>3.9650840756219267E-2</v>
      </c>
      <c r="AZ336" s="15">
        <f t="shared" si="4"/>
        <v>4.4607195850746677E-2</v>
      </c>
      <c r="BA336" s="15">
        <f t="shared" si="4"/>
        <v>4.9563550945274086E-2</v>
      </c>
      <c r="BB336" s="15">
        <f t="shared" si="4"/>
        <v>5.9476261134328898E-2</v>
      </c>
      <c r="BC336" s="15">
        <f t="shared" si="4"/>
        <v>6.9388971323383716E-2</v>
      </c>
      <c r="BD336" s="15">
        <f t="shared" si="4"/>
        <v>7.9301681512438535E-2</v>
      </c>
      <c r="BE336" s="15">
        <f t="shared" si="4"/>
        <v>8.9214391701493354E-2</v>
      </c>
      <c r="BF336" s="15">
        <f t="shared" si="4"/>
        <v>9.9127101890548172E-2</v>
      </c>
      <c r="BG336" s="252">
        <f t="shared" si="4"/>
        <v>0.19825420378109634</v>
      </c>
      <c r="BH336" s="220">
        <f t="shared" si="4"/>
        <v>0.39650840756219269</v>
      </c>
      <c r="BI336" s="220">
        <f t="shared" si="4"/>
        <v>0.79301681512438538</v>
      </c>
      <c r="BJ336" s="178">
        <f t="shared" si="4"/>
        <v>1</v>
      </c>
      <c r="BK336" s="178">
        <f t="shared" si="4"/>
        <v>1</v>
      </c>
      <c r="BL336" s="351">
        <f>B323</f>
        <v>7.0000000000000007E-2</v>
      </c>
      <c r="BM336" s="25"/>
      <c r="BN336" s="25"/>
      <c r="BO336" s="69"/>
    </row>
    <row r="337" spans="1:67" x14ac:dyDescent="0.25">
      <c r="A337" s="41" t="s">
        <v>155</v>
      </c>
      <c r="B337" s="16"/>
      <c r="C337" s="16"/>
      <c r="D337" s="16"/>
      <c r="E337" s="16"/>
      <c r="F337" s="16"/>
      <c r="G337" s="16"/>
      <c r="H337" s="16"/>
      <c r="I337" s="16"/>
      <c r="J337" s="16"/>
      <c r="K337" s="16"/>
      <c r="L337" s="16"/>
      <c r="M337" s="16"/>
      <c r="N337" s="16"/>
      <c r="O337" s="16"/>
      <c r="P337" s="255">
        <f t="shared" ref="P337:Y337" si="5">MAX(P335-(P343-P344)-(P345-P346)-(P347-P348),0)</f>
        <v>25.558430925469978</v>
      </c>
      <c r="Q337" s="256">
        <f t="shared" si="5"/>
        <v>48.253729583441825</v>
      </c>
      <c r="R337" s="256">
        <f t="shared" si="5"/>
        <v>104.90319014596037</v>
      </c>
      <c r="S337" s="256">
        <f t="shared" si="5"/>
        <v>224.72190063694103</v>
      </c>
      <c r="T337" s="256">
        <f>MAX(T335-(T343-T344)-(T345-T346)-(T347-T348),0)</f>
        <v>468.16151942648673</v>
      </c>
      <c r="U337" s="256">
        <f t="shared" si="5"/>
        <v>955.08635794363818</v>
      </c>
      <c r="V337" s="256">
        <f>MAX(V335-(V343-V344)-(V345-V346)-(V347-V348),0)</f>
        <v>1950.8214285714287</v>
      </c>
      <c r="W337" s="256">
        <f t="shared" si="5"/>
        <v>3941.9387841598559</v>
      </c>
      <c r="X337" s="256">
        <f t="shared" si="5"/>
        <v>7899.3926009765419</v>
      </c>
      <c r="Y337" s="256">
        <f t="shared" si="5"/>
        <v>15815.828395301851</v>
      </c>
      <c r="Z337" s="256">
        <f>MAX(Z335-(Z343-Z344)-(Z345-Z346)-(Z347-Z348),0)</f>
        <v>31608.741071428572</v>
      </c>
      <c r="AA337" s="256">
        <f t="shared" ref="AA337:BE337" si="6">MAX(AA335-(AA343-AA344)-(AA345-AA346)-(AA347-AA348),0)</f>
        <v>63059.098214285717</v>
      </c>
      <c r="AB337" s="256">
        <f t="shared" si="6"/>
        <v>125994.22083273345</v>
      </c>
      <c r="AC337" s="256">
        <f t="shared" si="6"/>
        <v>247644.31677867728</v>
      </c>
      <c r="AD337" s="256">
        <f t="shared" si="6"/>
        <v>416172.14285714284</v>
      </c>
      <c r="AE337" s="256">
        <f t="shared" ref="AE337:AG337" si="7">MAX(AE335-(AE343-AE344)-(AE345-AE346)-(AE347-AE348),0)</f>
        <v>402226.56939406152</v>
      </c>
      <c r="AF337" s="256">
        <f t="shared" si="7"/>
        <v>399354.62073629722</v>
      </c>
      <c r="AG337" s="256">
        <f t="shared" si="7"/>
        <v>119097.53326256634</v>
      </c>
      <c r="AH337" s="256">
        <f t="shared" si="6"/>
        <v>413664.82197137375</v>
      </c>
      <c r="AI337" s="256">
        <f t="shared" ref="AI337:AK337" si="8">MAX(AI335-(AI343-AI344)-(AI345-AI346)-(AI347-AI348),0)</f>
        <v>528504.95254129253</v>
      </c>
      <c r="AJ337" s="256">
        <f t="shared" si="8"/>
        <v>63909.430513412852</v>
      </c>
      <c r="AK337" s="256">
        <f t="shared" si="8"/>
        <v>15353.280587385554</v>
      </c>
      <c r="AL337" s="256">
        <f t="shared" si="6"/>
        <v>68410.068721800286</v>
      </c>
      <c r="AM337" s="256">
        <f t="shared" ref="AM337:AP337" si="9">MAX(AM335-(AM343-AM344)-(AM345-AM346)-(AM347-AM348),0)</f>
        <v>388762.29476568697</v>
      </c>
      <c r="AN337" s="256">
        <f t="shared" si="9"/>
        <v>0</v>
      </c>
      <c r="AO337" s="256">
        <f t="shared" si="9"/>
        <v>57692.077856484771</v>
      </c>
      <c r="AP337" s="256">
        <f t="shared" si="9"/>
        <v>572515.70109053643</v>
      </c>
      <c r="AQ337" s="256">
        <f t="shared" si="6"/>
        <v>338476.15365630883</v>
      </c>
      <c r="AR337" s="256">
        <f t="shared" ref="AR337:AU337" si="10">MAX(AR335-(AR343-AR344)-(AR345-AR346)-(AR347-AR348),0)</f>
        <v>0</v>
      </c>
      <c r="AS337" s="256">
        <f t="shared" si="10"/>
        <v>0</v>
      </c>
      <c r="AT337" s="256">
        <f t="shared" si="10"/>
        <v>0</v>
      </c>
      <c r="AU337" s="256">
        <f t="shared" si="10"/>
        <v>0</v>
      </c>
      <c r="AV337" s="256">
        <f t="shared" si="6"/>
        <v>0</v>
      </c>
      <c r="AW337" s="256">
        <f t="shared" ref="AW337:AZ337" si="11">MAX(AW335-(AW343-AW344)-(AW345-AW346)-(AW347-AW348),0)</f>
        <v>0</v>
      </c>
      <c r="AX337" s="256">
        <f t="shared" si="11"/>
        <v>0</v>
      </c>
      <c r="AY337" s="256">
        <f t="shared" si="11"/>
        <v>0</v>
      </c>
      <c r="AZ337" s="256">
        <f t="shared" si="11"/>
        <v>0</v>
      </c>
      <c r="BA337" s="256">
        <f t="shared" si="6"/>
        <v>0</v>
      </c>
      <c r="BB337" s="256">
        <f t="shared" si="6"/>
        <v>0</v>
      </c>
      <c r="BC337" s="256">
        <f t="shared" si="6"/>
        <v>0</v>
      </c>
      <c r="BD337" s="256">
        <f t="shared" si="6"/>
        <v>0</v>
      </c>
      <c r="BE337" s="256">
        <f t="shared" si="6"/>
        <v>0</v>
      </c>
      <c r="BF337" s="256">
        <f t="shared" ref="BF337:BJ337" si="12">MAX(BF335-(BF343-BF344)-(BF345-BF346)-(BF347-BF348),0)</f>
        <v>0</v>
      </c>
      <c r="BG337" s="236">
        <f t="shared" si="12"/>
        <v>0</v>
      </c>
      <c r="BH337" s="196">
        <f t="shared" si="12"/>
        <v>0</v>
      </c>
      <c r="BI337" s="196">
        <f t="shared" si="12"/>
        <v>0</v>
      </c>
      <c r="BJ337" s="197">
        <f t="shared" si="12"/>
        <v>0</v>
      </c>
      <c r="BK337" s="197">
        <f>MAX(BK335-(BK343-BK344)-(BK345-BK346)-(BK347-BK348),0)</f>
        <v>0</v>
      </c>
      <c r="BL337" s="352"/>
      <c r="BM337" s="45"/>
      <c r="BN337" s="45"/>
      <c r="BO337" s="69"/>
    </row>
    <row r="338" spans="1:67" x14ac:dyDescent="0.25">
      <c r="A338" s="41" t="s">
        <v>169</v>
      </c>
      <c r="B338" s="16"/>
      <c r="C338" s="16"/>
      <c r="D338" s="16"/>
      <c r="E338" s="16"/>
      <c r="F338" s="16"/>
      <c r="G338" s="16"/>
      <c r="H338" s="16"/>
      <c r="I338" s="16"/>
      <c r="J338" s="16"/>
      <c r="K338" s="16"/>
      <c r="L338" s="16"/>
      <c r="M338" s="16"/>
      <c r="N338" s="16"/>
      <c r="O338" s="16"/>
      <c r="P338" s="86">
        <f>MAX(P335-P337-P350,0)</f>
        <v>5.6915690745300225</v>
      </c>
      <c r="Q338" s="87">
        <f>MAX(Q335-Q337-Q350,0)</f>
        <v>14.246270416558175</v>
      </c>
      <c r="R338" s="87">
        <f t="shared" ref="R338:S338" si="13">MAX(R335-R337-R350,0)</f>
        <v>20.096809854039634</v>
      </c>
      <c r="S338" s="87">
        <f t="shared" si="13"/>
        <v>25.278099363058971</v>
      </c>
      <c r="T338" s="121">
        <f>MAX(T335-T337-T350,0)</f>
        <v>31.838480573513266</v>
      </c>
      <c r="U338" s="121">
        <f t="shared" ref="U338:BC338" si="14">MAX(U335-U337-U350,0)</f>
        <v>44.913642056361823</v>
      </c>
      <c r="V338" s="121">
        <f t="shared" si="14"/>
        <v>49.178571428571331</v>
      </c>
      <c r="W338" s="121">
        <f t="shared" si="14"/>
        <v>58.061215840144087</v>
      </c>
      <c r="X338" s="121">
        <f t="shared" si="14"/>
        <v>100.60739902345813</v>
      </c>
      <c r="Y338" s="121">
        <f t="shared" si="14"/>
        <v>184.17160469814917</v>
      </c>
      <c r="Z338" s="121">
        <f t="shared" si="14"/>
        <v>391.25892857142753</v>
      </c>
      <c r="AA338" s="121">
        <f t="shared" si="14"/>
        <v>940.9017857142826</v>
      </c>
      <c r="AB338" s="121">
        <f t="shared" si="14"/>
        <v>2004.1669762384695</v>
      </c>
      <c r="AC338" s="121">
        <f t="shared" si="14"/>
        <v>8352.8226042062106</v>
      </c>
      <c r="AD338" s="121">
        <f t="shared" si="14"/>
        <v>95815.805149400563</v>
      </c>
      <c r="AE338" s="121">
        <f t="shared" ref="AE338:AG338" si="15">MAX(AE335-AE337-AE350,0)</f>
        <v>237719.99667736705</v>
      </c>
      <c r="AF338" s="121">
        <f t="shared" si="15"/>
        <v>368506.55195576878</v>
      </c>
      <c r="AG338" s="121">
        <f t="shared" si="15"/>
        <v>776428.12303703243</v>
      </c>
      <c r="AH338" s="121">
        <f t="shared" si="14"/>
        <v>608587.41623895988</v>
      </c>
      <c r="AI338" s="121">
        <f t="shared" ref="AI338:AK338" si="16">MAX(AI335-AI337-AI350,0)</f>
        <v>770102.70542789157</v>
      </c>
      <c r="AJ338" s="121">
        <f t="shared" si="16"/>
        <v>1436173.5017915664</v>
      </c>
      <c r="AK338" s="121">
        <f t="shared" si="16"/>
        <v>1725246.0393412951</v>
      </c>
      <c r="AL338" s="121">
        <f t="shared" si="14"/>
        <v>1835488.0824913937</v>
      </c>
      <c r="AM338" s="121">
        <f t="shared" ref="AM338:AP338" si="17">MAX(AM335-AM337-AM350,0)</f>
        <v>1992347.5536975614</v>
      </c>
      <c r="AN338" s="121">
        <f t="shared" si="17"/>
        <v>2615234.418099056</v>
      </c>
      <c r="AO338" s="121">
        <f t="shared" si="17"/>
        <v>2989140.9528933521</v>
      </c>
      <c r="AP338" s="121">
        <f t="shared" si="17"/>
        <v>2992624.594386436</v>
      </c>
      <c r="AQ338" s="121">
        <f t="shared" si="14"/>
        <v>3325859.1030028509</v>
      </c>
      <c r="AR338" s="121">
        <f t="shared" ref="AR338:AU338" si="18">MAX(AR335-AR337-AR350,0)</f>
        <v>4615053.2454070877</v>
      </c>
      <c r="AS338" s="121">
        <f t="shared" si="18"/>
        <v>4913053.5690400861</v>
      </c>
      <c r="AT338" s="121">
        <f t="shared" si="18"/>
        <v>5747439.8539202269</v>
      </c>
      <c r="AU338" s="121">
        <f t="shared" si="18"/>
        <v>6566879.6340813031</v>
      </c>
      <c r="AV338" s="121">
        <f t="shared" si="14"/>
        <v>7377147.0947427936</v>
      </c>
      <c r="AW338" s="121">
        <f t="shared" ref="AW338:AZ338" si="19">MAX(AW335-AW337-AW350,0)</f>
        <v>8981561.4313106257</v>
      </c>
      <c r="AX338" s="121">
        <f t="shared" si="19"/>
        <v>10573789.349594513</v>
      </c>
      <c r="AY338" s="121">
        <f t="shared" si="19"/>
        <v>12159279.333587816</v>
      </c>
      <c r="AZ338" s="121">
        <f t="shared" si="19"/>
        <v>13740679.886109641</v>
      </c>
      <c r="BA338" s="121">
        <f t="shared" si="14"/>
        <v>15319425.935282391</v>
      </c>
      <c r="BB338" s="121">
        <f t="shared" si="14"/>
        <v>18534759.357446369</v>
      </c>
      <c r="BC338" s="121">
        <f t="shared" si="14"/>
        <v>21636661.574558511</v>
      </c>
      <c r="BD338" s="121">
        <f>MAX(BD335-BD337-BD350,0)</f>
        <v>24745670.245819803</v>
      </c>
      <c r="BE338" s="121">
        <f>MAX(BE335-BE337-BE350,0)</f>
        <v>27860028.484502073</v>
      </c>
      <c r="BF338" s="121">
        <f>MAX(BF335-BF337-BF350,0)</f>
        <v>30978508.998552978</v>
      </c>
      <c r="BG338" s="253">
        <f>MAX(BG335-BG337-BG350,0)</f>
        <v>0</v>
      </c>
      <c r="BH338" s="210">
        <f t="shared" ref="BH338:BK338" si="20">MAX(BH335-BH337-BH350,0)</f>
        <v>71229108.770158902</v>
      </c>
      <c r="BI338" s="210">
        <f t="shared" si="20"/>
        <v>188587975.60718018</v>
      </c>
      <c r="BJ338" s="211">
        <f t="shared" si="20"/>
        <v>224544428.58811691</v>
      </c>
      <c r="BK338" s="211">
        <f t="shared" si="20"/>
        <v>163008280.17948595</v>
      </c>
      <c r="BL338" s="353"/>
      <c r="BM338" s="25"/>
      <c r="BN338" s="25"/>
      <c r="BO338" s="69"/>
    </row>
    <row r="339" spans="1:67" x14ac:dyDescent="0.25">
      <c r="A339" s="4" t="s">
        <v>162</v>
      </c>
      <c r="B339" s="9"/>
      <c r="C339" s="9"/>
      <c r="D339" s="9"/>
      <c r="E339" s="9"/>
      <c r="F339" s="9"/>
      <c r="G339" s="9"/>
      <c r="H339" s="9"/>
      <c r="I339" s="9"/>
      <c r="J339" s="9"/>
      <c r="K339" s="9"/>
      <c r="L339" s="9"/>
      <c r="M339" s="9"/>
      <c r="N339" s="9"/>
      <c r="O339" s="5"/>
      <c r="P339" s="194">
        <f t="shared" ref="P339:AD339" si="21">P335/$B$322</f>
        <v>102.67857142857142</v>
      </c>
      <c r="Q339" s="195">
        <f t="shared" si="21"/>
        <v>205.35714285714283</v>
      </c>
      <c r="R339" s="195">
        <f t="shared" si="21"/>
        <v>410.71428571428567</v>
      </c>
      <c r="S339" s="195">
        <f t="shared" si="21"/>
        <v>821.42857142857133</v>
      </c>
      <c r="T339" s="195">
        <f t="shared" si="21"/>
        <v>1642.8571428571427</v>
      </c>
      <c r="U339" s="195">
        <f t="shared" si="21"/>
        <v>3285.7142857142853</v>
      </c>
      <c r="V339" s="195">
        <f t="shared" si="21"/>
        <v>6571.4285714285706</v>
      </c>
      <c r="W339" s="195">
        <f t="shared" si="21"/>
        <v>13142.857142857141</v>
      </c>
      <c r="X339" s="195">
        <f t="shared" si="21"/>
        <v>26285.714285714283</v>
      </c>
      <c r="Y339" s="195">
        <f t="shared" si="21"/>
        <v>52571.428571428565</v>
      </c>
      <c r="Z339" s="195">
        <f t="shared" si="21"/>
        <v>105142.85714285713</v>
      </c>
      <c r="AA339" s="195">
        <f t="shared" si="21"/>
        <v>210285.71428571426</v>
      </c>
      <c r="AB339" s="195">
        <f t="shared" si="21"/>
        <v>420571.42857142852</v>
      </c>
      <c r="AC339" s="195">
        <f t="shared" si="21"/>
        <v>841142.85714285704</v>
      </c>
      <c r="AD339" s="195">
        <f t="shared" si="21"/>
        <v>1682285.7142857141</v>
      </c>
      <c r="AE339" s="195">
        <f t="shared" ref="AE339:AG339" si="22">AE335/$B$322</f>
        <v>2102857.1428571427</v>
      </c>
      <c r="AF339" s="195">
        <f t="shared" si="22"/>
        <v>2523428.5714285714</v>
      </c>
      <c r="AG339" s="195">
        <f t="shared" si="22"/>
        <v>2944000</v>
      </c>
      <c r="AH339" s="195">
        <f>AH335/$B$322</f>
        <v>3364571.4285714282</v>
      </c>
      <c r="AI339" s="195">
        <f t="shared" ref="AI339:AK339" si="23">AI335/$B$322</f>
        <v>4306651.4285714282</v>
      </c>
      <c r="AJ339" s="195">
        <f t="shared" si="23"/>
        <v>5046857.1428571427</v>
      </c>
      <c r="AK339" s="195">
        <f t="shared" si="23"/>
        <v>5888000</v>
      </c>
      <c r="AL339" s="195">
        <f>AL335/$B$322</f>
        <v>6729142.8571428563</v>
      </c>
      <c r="AM339" s="195">
        <f t="shared" ref="AM339:AP339" si="24">AM335/$B$322</f>
        <v>8074971.4285714282</v>
      </c>
      <c r="AN339" s="195">
        <f t="shared" si="24"/>
        <v>9420800</v>
      </c>
      <c r="AO339" s="195">
        <f t="shared" si="24"/>
        <v>10766628.571428571</v>
      </c>
      <c r="AP339" s="195">
        <f t="shared" si="24"/>
        <v>12112457.142857142</v>
      </c>
      <c r="AQ339" s="195">
        <f>AQ335/$B$322</f>
        <v>13458285.714285713</v>
      </c>
      <c r="AR339" s="195">
        <f t="shared" ref="AR339:AU339" si="25">AR335/$B$322</f>
        <v>16149942.857142856</v>
      </c>
      <c r="AS339" s="195">
        <f t="shared" si="25"/>
        <v>18841600</v>
      </c>
      <c r="AT339" s="195">
        <f t="shared" si="25"/>
        <v>21533257.142857142</v>
      </c>
      <c r="AU339" s="195">
        <f t="shared" si="25"/>
        <v>24224914.285714284</v>
      </c>
      <c r="AV339" s="195">
        <f>AV335/$B$322</f>
        <v>26916571.428571425</v>
      </c>
      <c r="AW339" s="195">
        <f t="shared" ref="AW339:AZ339" si="26">AW335/$B$322</f>
        <v>32299885.714285713</v>
      </c>
      <c r="AX339" s="195">
        <f t="shared" si="26"/>
        <v>37683200</v>
      </c>
      <c r="AY339" s="195">
        <f t="shared" si="26"/>
        <v>43066514.285714284</v>
      </c>
      <c r="AZ339" s="195">
        <f t="shared" si="26"/>
        <v>48449828.571428567</v>
      </c>
      <c r="BA339" s="195">
        <f t="shared" ref="BA339:BG339" si="27">BA335/$B$322</f>
        <v>53833142.857142851</v>
      </c>
      <c r="BB339" s="195">
        <f t="shared" si="27"/>
        <v>64599771.428571425</v>
      </c>
      <c r="BC339" s="195">
        <f t="shared" si="27"/>
        <v>75366400</v>
      </c>
      <c r="BD339" s="195">
        <f t="shared" si="27"/>
        <v>86133028.571428567</v>
      </c>
      <c r="BE339" s="195">
        <f t="shared" si="27"/>
        <v>96899657.142857134</v>
      </c>
      <c r="BF339" s="195">
        <f t="shared" si="27"/>
        <v>107666285.7142857</v>
      </c>
      <c r="BG339" s="236">
        <f t="shared" si="27"/>
        <v>215332571.4285714</v>
      </c>
      <c r="BH339" s="196">
        <f>$B$316</f>
        <v>330565500</v>
      </c>
      <c r="BI339" s="196">
        <f>$B$316</f>
        <v>330565500</v>
      </c>
      <c r="BJ339" s="197">
        <f>$B$316</f>
        <v>330565500</v>
      </c>
      <c r="BK339" s="196">
        <f>BK335</f>
        <v>330565500</v>
      </c>
      <c r="BL339" s="239">
        <f>($B$316*$B$323)/$B$322</f>
        <v>76030065</v>
      </c>
      <c r="BM339" s="25"/>
      <c r="BN339" s="25"/>
      <c r="BO339" s="69"/>
    </row>
    <row r="340" spans="1:67" x14ac:dyDescent="0.25">
      <c r="A340" s="41" t="s">
        <v>111</v>
      </c>
      <c r="B340" s="16"/>
      <c r="C340" s="16"/>
      <c r="D340" s="16"/>
      <c r="E340" s="16"/>
      <c r="F340" s="16"/>
      <c r="G340" s="16"/>
      <c r="H340" s="16"/>
      <c r="I340" s="16"/>
      <c r="J340" s="16"/>
      <c r="K340" s="16"/>
      <c r="L340" s="16"/>
      <c r="M340" s="16"/>
      <c r="N340" s="16"/>
      <c r="O340" s="17"/>
      <c r="P340" s="192">
        <f t="shared" ref="P340:BJ340" si="28">P339/$B$316</f>
        <v>3.1061490515063253E-7</v>
      </c>
      <c r="Q340" s="193">
        <f t="shared" si="28"/>
        <v>6.2122981030126507E-7</v>
      </c>
      <c r="R340" s="193">
        <f t="shared" si="28"/>
        <v>1.2424596206025301E-6</v>
      </c>
      <c r="S340" s="66">
        <f t="shared" si="28"/>
        <v>2.4849192412050603E-6</v>
      </c>
      <c r="T340" s="66">
        <f t="shared" si="28"/>
        <v>4.9698384824101205E-6</v>
      </c>
      <c r="U340" s="66">
        <f t="shared" si="28"/>
        <v>9.9396769648202411E-6</v>
      </c>
      <c r="V340" s="66">
        <f t="shared" si="28"/>
        <v>1.9879353929640482E-5</v>
      </c>
      <c r="W340" s="66">
        <f t="shared" si="28"/>
        <v>3.9758707859280964E-5</v>
      </c>
      <c r="X340" s="36">
        <f t="shared" si="28"/>
        <v>7.9517415718561928E-5</v>
      </c>
      <c r="Y340" s="36">
        <f t="shared" si="28"/>
        <v>1.5903483143712386E-4</v>
      </c>
      <c r="Z340" s="36">
        <f t="shared" si="28"/>
        <v>3.1806966287424771E-4</v>
      </c>
      <c r="AA340" s="36">
        <f t="shared" si="28"/>
        <v>6.3613932574849543E-4</v>
      </c>
      <c r="AB340" s="14">
        <f t="shared" si="28"/>
        <v>1.2722786514969909E-3</v>
      </c>
      <c r="AC340" s="15">
        <f t="shared" si="28"/>
        <v>2.5445573029939817E-3</v>
      </c>
      <c r="AD340" s="15">
        <f t="shared" si="28"/>
        <v>5.0891146059879634E-3</v>
      </c>
      <c r="AE340" s="15">
        <f t="shared" si="28"/>
        <v>6.3613932574849543E-3</v>
      </c>
      <c r="AF340" s="15">
        <f t="shared" si="28"/>
        <v>7.633671908981946E-3</v>
      </c>
      <c r="AG340" s="15">
        <f t="shared" si="28"/>
        <v>8.9059505604789369E-3</v>
      </c>
      <c r="AH340" s="15">
        <f t="shared" si="28"/>
        <v>1.0178229211975927E-2</v>
      </c>
      <c r="AI340" s="15">
        <f t="shared" si="28"/>
        <v>1.3028133391329187E-2</v>
      </c>
      <c r="AJ340" s="15">
        <f t="shared" si="28"/>
        <v>1.5267343817963892E-2</v>
      </c>
      <c r="AK340" s="15">
        <f t="shared" si="28"/>
        <v>1.7811901120957874E-2</v>
      </c>
      <c r="AL340" s="15">
        <f t="shared" si="28"/>
        <v>2.0356458423951854E-2</v>
      </c>
      <c r="AM340" s="15">
        <f t="shared" si="28"/>
        <v>2.4427750108742225E-2</v>
      </c>
      <c r="AN340" s="15">
        <f t="shared" si="28"/>
        <v>2.8499041793532597E-2</v>
      </c>
      <c r="AO340" s="15">
        <f t="shared" si="28"/>
        <v>3.2570333478322964E-2</v>
      </c>
      <c r="AP340" s="15">
        <f t="shared" si="28"/>
        <v>3.6641625163113339E-2</v>
      </c>
      <c r="AQ340" s="15">
        <f t="shared" si="28"/>
        <v>4.0712916847903707E-2</v>
      </c>
      <c r="AR340" s="75">
        <f t="shared" si="28"/>
        <v>4.885550021748445E-2</v>
      </c>
      <c r="AS340" s="75">
        <f t="shared" si="28"/>
        <v>5.6998083587065193E-2</v>
      </c>
      <c r="AT340" s="75">
        <f t="shared" si="28"/>
        <v>6.5140666956645929E-2</v>
      </c>
      <c r="AU340" s="75">
        <f t="shared" si="28"/>
        <v>7.3283250326226679E-2</v>
      </c>
      <c r="AV340" s="75">
        <f t="shared" si="28"/>
        <v>8.1425833695807415E-2</v>
      </c>
      <c r="AW340" s="75">
        <f t="shared" si="28"/>
        <v>9.77110004349689E-2</v>
      </c>
      <c r="AX340" s="75">
        <f t="shared" si="28"/>
        <v>0.11399616717413039</v>
      </c>
      <c r="AY340" s="75">
        <f t="shared" si="28"/>
        <v>0.13028133391329186</v>
      </c>
      <c r="AZ340" s="75">
        <f t="shared" si="28"/>
        <v>0.14656650065245336</v>
      </c>
      <c r="BA340" s="75">
        <f t="shared" si="28"/>
        <v>0.16285166739161483</v>
      </c>
      <c r="BB340" s="75">
        <f t="shared" si="28"/>
        <v>0.1954220008699378</v>
      </c>
      <c r="BC340" s="75">
        <f t="shared" si="28"/>
        <v>0.22799233434826077</v>
      </c>
      <c r="BD340" s="75">
        <f t="shared" si="28"/>
        <v>0.26056266782658372</v>
      </c>
      <c r="BE340" s="75">
        <f t="shared" si="28"/>
        <v>0.29313300130490672</v>
      </c>
      <c r="BF340" s="75">
        <f t="shared" si="28"/>
        <v>0.32570333478322966</v>
      </c>
      <c r="BG340" s="235">
        <f t="shared" si="28"/>
        <v>0.65140666956645932</v>
      </c>
      <c r="BH340" s="177">
        <f t="shared" si="28"/>
        <v>1</v>
      </c>
      <c r="BI340" s="177">
        <f t="shared" si="28"/>
        <v>1</v>
      </c>
      <c r="BJ340" s="178">
        <f t="shared" si="28"/>
        <v>1</v>
      </c>
      <c r="BK340" s="177">
        <v>1</v>
      </c>
      <c r="BL340" s="238">
        <f>BL339/B316</f>
        <v>0.23</v>
      </c>
      <c r="BM340" s="25"/>
      <c r="BN340" s="25"/>
      <c r="BO340" s="69"/>
    </row>
    <row r="341" spans="1:67" x14ac:dyDescent="0.25">
      <c r="A341" s="41" t="s">
        <v>160</v>
      </c>
      <c r="B341" s="16"/>
      <c r="C341" s="16"/>
      <c r="D341" s="16"/>
      <c r="E341" s="16"/>
      <c r="F341" s="16"/>
      <c r="G341" s="16"/>
      <c r="H341" s="16"/>
      <c r="I341" s="16"/>
      <c r="J341" s="16"/>
      <c r="K341" s="16"/>
      <c r="L341" s="16"/>
      <c r="M341" s="16"/>
      <c r="N341" s="16"/>
      <c r="O341" s="17"/>
      <c r="P341" s="194">
        <f>P339-P335</f>
        <v>71.428571428571416</v>
      </c>
      <c r="Q341" s="195">
        <f t="shared" ref="Q341:AU341" si="29">Q339-Q335</f>
        <v>142.85714285714283</v>
      </c>
      <c r="R341" s="195">
        <f t="shared" si="29"/>
        <v>285.71428571428567</v>
      </c>
      <c r="S341" s="195">
        <f t="shared" si="29"/>
        <v>571.42857142857133</v>
      </c>
      <c r="T341" s="195">
        <f>T339-T335</f>
        <v>1142.8571428571427</v>
      </c>
      <c r="U341" s="195">
        <f t="shared" si="29"/>
        <v>2285.7142857142853</v>
      </c>
      <c r="V341" s="195">
        <f t="shared" si="29"/>
        <v>4571.4285714285706</v>
      </c>
      <c r="W341" s="195">
        <f t="shared" si="29"/>
        <v>9142.8571428571413</v>
      </c>
      <c r="X341" s="195">
        <f t="shared" si="29"/>
        <v>18285.714285714283</v>
      </c>
      <c r="Y341" s="195">
        <f t="shared" si="29"/>
        <v>36571.428571428565</v>
      </c>
      <c r="Z341" s="195">
        <f t="shared" si="29"/>
        <v>73142.85714285713</v>
      </c>
      <c r="AA341" s="195">
        <f t="shared" si="29"/>
        <v>146285.71428571426</v>
      </c>
      <c r="AB341" s="195">
        <f t="shared" si="29"/>
        <v>292571.42857142852</v>
      </c>
      <c r="AC341" s="195">
        <f t="shared" si="29"/>
        <v>585142.85714285704</v>
      </c>
      <c r="AD341" s="195">
        <f t="shared" si="29"/>
        <v>1170285.7142857141</v>
      </c>
      <c r="AE341" s="195">
        <f t="shared" ref="AE341:AG341" si="30">AE339-AE335</f>
        <v>1462857.1428571427</v>
      </c>
      <c r="AF341" s="195">
        <f t="shared" si="30"/>
        <v>1755428.5714285714</v>
      </c>
      <c r="AG341" s="195">
        <f t="shared" si="30"/>
        <v>2048000</v>
      </c>
      <c r="AH341" s="195">
        <f t="shared" si="29"/>
        <v>2340571.4285714282</v>
      </c>
      <c r="AI341" s="195">
        <f t="shared" ref="AI341:AK341" si="31">AI339-AI335</f>
        <v>2995931.4285714282</v>
      </c>
      <c r="AJ341" s="195">
        <f t="shared" si="31"/>
        <v>3510857.1428571427</v>
      </c>
      <c r="AK341" s="195">
        <f t="shared" si="31"/>
        <v>4096000</v>
      </c>
      <c r="AL341" s="195">
        <f t="shared" si="29"/>
        <v>4681142.8571428563</v>
      </c>
      <c r="AM341" s="195">
        <f t="shared" ref="AM341:AP341" si="32">AM339-AM335</f>
        <v>5617371.4285714282</v>
      </c>
      <c r="AN341" s="195">
        <f t="shared" si="32"/>
        <v>6553600</v>
      </c>
      <c r="AO341" s="195">
        <f t="shared" si="32"/>
        <v>7489828.5714285709</v>
      </c>
      <c r="AP341" s="195">
        <f t="shared" si="32"/>
        <v>8426057.1428571418</v>
      </c>
      <c r="AQ341" s="195">
        <f t="shared" si="29"/>
        <v>9362285.7142857127</v>
      </c>
      <c r="AR341" s="195">
        <f t="shared" si="29"/>
        <v>11234742.857142856</v>
      </c>
      <c r="AS341" s="195">
        <f t="shared" si="29"/>
        <v>13107200</v>
      </c>
      <c r="AT341" s="195">
        <f t="shared" si="29"/>
        <v>14979657.142857142</v>
      </c>
      <c r="AU341" s="195">
        <f t="shared" si="29"/>
        <v>16852114.285714284</v>
      </c>
      <c r="AV341" s="195">
        <f>AV339-AV335</f>
        <v>18724571.428571425</v>
      </c>
      <c r="AW341" s="195">
        <f t="shared" ref="AW341:AZ341" si="33">AW339-AW335</f>
        <v>22469485.714285713</v>
      </c>
      <c r="AX341" s="195">
        <f t="shared" si="33"/>
        <v>26214400</v>
      </c>
      <c r="AY341" s="195">
        <f t="shared" si="33"/>
        <v>29959314.285714284</v>
      </c>
      <c r="AZ341" s="195">
        <f t="shared" si="33"/>
        <v>33704228.571428567</v>
      </c>
      <c r="BA341" s="195">
        <f>BA339-BA335</f>
        <v>37449142.857142851</v>
      </c>
      <c r="BB341" s="195">
        <f t="shared" ref="BB341:BE341" si="34">BB339-BB335</f>
        <v>44938971.428571425</v>
      </c>
      <c r="BC341" s="195">
        <f t="shared" si="34"/>
        <v>52428800</v>
      </c>
      <c r="BD341" s="195">
        <f t="shared" si="34"/>
        <v>59918628.571428567</v>
      </c>
      <c r="BE341" s="195">
        <f t="shared" si="34"/>
        <v>67408457.142857134</v>
      </c>
      <c r="BF341" s="195">
        <f>BF339-BF335</f>
        <v>74898285.714285702</v>
      </c>
      <c r="BG341" s="236">
        <f t="shared" ref="BG341:BJ341" si="35">BG339</f>
        <v>215332571.4285714</v>
      </c>
      <c r="BH341" s="196">
        <f t="shared" si="35"/>
        <v>330565500</v>
      </c>
      <c r="BI341" s="196">
        <f t="shared" si="35"/>
        <v>330565500</v>
      </c>
      <c r="BJ341" s="197">
        <f t="shared" si="35"/>
        <v>330565500</v>
      </c>
      <c r="BK341" s="196">
        <f>BK339</f>
        <v>330565500</v>
      </c>
      <c r="BL341" s="240">
        <f>BL339-BL335</f>
        <v>52890480</v>
      </c>
      <c r="BM341" s="25"/>
      <c r="BN341" s="25"/>
      <c r="BO341" s="69"/>
    </row>
    <row r="342" spans="1:67" x14ac:dyDescent="0.25">
      <c r="A342" s="37" t="s">
        <v>161</v>
      </c>
      <c r="B342" s="39"/>
      <c r="C342" s="39"/>
      <c r="D342" s="39"/>
      <c r="E342" s="39"/>
      <c r="F342" s="39"/>
      <c r="G342" s="39"/>
      <c r="H342" s="39"/>
      <c r="I342" s="39"/>
      <c r="J342" s="39"/>
      <c r="K342" s="39"/>
      <c r="L342" s="39"/>
      <c r="M342" s="39"/>
      <c r="N342" s="39"/>
      <c r="O342" s="63"/>
      <c r="P342" s="203">
        <f>MIN((1/$B$322)*(2^(((P334 - 14) - $B$331)/$P$360)),P341)</f>
        <v>23.087493600386331</v>
      </c>
      <c r="Q342" s="204">
        <f>MIN((1/$B$322)*(2^(((Q334 - 14) - $B$331)/$P$360)),Q341)</f>
        <v>57.789103982511101</v>
      </c>
      <c r="R342" s="204">
        <f>MIN((1/$B$322)*(2^(((R334 - 14) - $B$331)/$P$360)),R341)</f>
        <v>81.521450907039053</v>
      </c>
      <c r="S342" s="204">
        <f>MIN((1/$B$322)*(2^(((S334 - 14) - $B$331)/$P$360)),S341)</f>
        <v>102.53902739865191</v>
      </c>
      <c r="T342" s="195">
        <f t="shared" ref="T342:BK342" si="36">MIN(($P$335/$B$322)*(2^(((T334 - 14) - $P$334)/HLOOKUP((T334-14)-$B$331,$P$358:$BL$360,3,TRUE))),T341)</f>
        <v>129.1508030318879</v>
      </c>
      <c r="U342" s="195">
        <f t="shared" si="36"/>
        <v>182.18937694820477</v>
      </c>
      <c r="V342" s="195">
        <f t="shared" si="36"/>
        <v>199.48979591836729</v>
      </c>
      <c r="W342" s="195">
        <f t="shared" si="36"/>
        <v>235.52168682950901</v>
      </c>
      <c r="X342" s="195">
        <f t="shared" si="36"/>
        <v>408.10761508633772</v>
      </c>
      <c r="Y342" s="195">
        <f t="shared" si="36"/>
        <v>747.08058343164521</v>
      </c>
      <c r="Z342" s="195">
        <f t="shared" si="36"/>
        <v>1587.117346938775</v>
      </c>
      <c r="AA342" s="195">
        <f t="shared" si="36"/>
        <v>3816.709183673468</v>
      </c>
      <c r="AB342" s="195">
        <f t="shared" si="36"/>
        <v>8129.2091836734662</v>
      </c>
      <c r="AC342" s="195">
        <f t="shared" si="36"/>
        <v>33881.692885804208</v>
      </c>
      <c r="AD342" s="195">
        <f t="shared" si="36"/>
        <v>366087.24489795917</v>
      </c>
      <c r="AE342" s="195">
        <f t="shared" si="36"/>
        <v>908370.25888269092</v>
      </c>
      <c r="AF342" s="195">
        <f t="shared" si="36"/>
        <v>1408187.4332334157</v>
      </c>
      <c r="AG342" s="195">
        <f t="shared" si="36"/>
        <v>2048000</v>
      </c>
      <c r="AH342" s="195">
        <f t="shared" si="36"/>
        <v>2329646.6104083722</v>
      </c>
      <c r="AI342" s="195">
        <f t="shared" si="36"/>
        <v>2939327.1554019852</v>
      </c>
      <c r="AJ342" s="195">
        <f t="shared" si="36"/>
        <v>3510857.1428571427</v>
      </c>
      <c r="AK342" s="195">
        <f t="shared" si="36"/>
        <v>4096000</v>
      </c>
      <c r="AL342" s="195">
        <f t="shared" si="36"/>
        <v>4681142.8571428563</v>
      </c>
      <c r="AM342" s="195">
        <f t="shared" si="36"/>
        <v>5617371.4285714282</v>
      </c>
      <c r="AN342" s="195">
        <f t="shared" si="36"/>
        <v>6553600</v>
      </c>
      <c r="AO342" s="195">
        <f t="shared" si="36"/>
        <v>7489828.5714285709</v>
      </c>
      <c r="AP342" s="195">
        <f t="shared" si="36"/>
        <v>8426057.1428571418</v>
      </c>
      <c r="AQ342" s="195">
        <f t="shared" si="36"/>
        <v>9362285.7142857127</v>
      </c>
      <c r="AR342" s="195">
        <f t="shared" si="36"/>
        <v>11234742.857142856</v>
      </c>
      <c r="AS342" s="195">
        <f t="shared" si="36"/>
        <v>13107200</v>
      </c>
      <c r="AT342" s="195">
        <f t="shared" si="36"/>
        <v>14979657.142857142</v>
      </c>
      <c r="AU342" s="195">
        <f t="shared" si="36"/>
        <v>16852114.285714284</v>
      </c>
      <c r="AV342" s="195">
        <f t="shared" si="36"/>
        <v>18724571.428571425</v>
      </c>
      <c r="AW342" s="195">
        <f t="shared" si="36"/>
        <v>22469485.714285713</v>
      </c>
      <c r="AX342" s="195">
        <f t="shared" si="36"/>
        <v>26214400</v>
      </c>
      <c r="AY342" s="195">
        <f t="shared" si="36"/>
        <v>29959314.285714284</v>
      </c>
      <c r="AZ342" s="195">
        <f t="shared" si="36"/>
        <v>33704228.571428567</v>
      </c>
      <c r="BA342" s="195">
        <f t="shared" si="36"/>
        <v>37449142.857142851</v>
      </c>
      <c r="BB342" s="195">
        <f t="shared" si="36"/>
        <v>44938971.428571425</v>
      </c>
      <c r="BC342" s="195">
        <f t="shared" si="36"/>
        <v>52428800</v>
      </c>
      <c r="BD342" s="195">
        <f t="shared" si="36"/>
        <v>59918628.571428567</v>
      </c>
      <c r="BE342" s="195">
        <f t="shared" si="36"/>
        <v>67408457.142857134</v>
      </c>
      <c r="BF342" s="195">
        <f t="shared" si="36"/>
        <v>74898285.714285702</v>
      </c>
      <c r="BG342" s="237">
        <f t="shared" si="36"/>
        <v>215332571.4285714</v>
      </c>
      <c r="BH342" s="200">
        <f t="shared" si="36"/>
        <v>330565500</v>
      </c>
      <c r="BI342" s="200">
        <f t="shared" si="36"/>
        <v>330565500</v>
      </c>
      <c r="BJ342" s="201">
        <f t="shared" si="36"/>
        <v>330565500</v>
      </c>
      <c r="BK342" s="200">
        <f t="shared" si="36"/>
        <v>330565500</v>
      </c>
      <c r="BL342" s="240"/>
      <c r="BM342" s="25"/>
      <c r="BN342" s="25"/>
      <c r="BO342" s="69"/>
    </row>
    <row r="343" spans="1:67" x14ac:dyDescent="0.25">
      <c r="A343" s="41" t="s">
        <v>158</v>
      </c>
      <c r="B343" s="16"/>
      <c r="C343" s="16"/>
      <c r="D343" s="16"/>
      <c r="E343" s="16"/>
      <c r="F343" s="16"/>
      <c r="G343" s="16"/>
      <c r="H343" s="16"/>
      <c r="I343" s="16"/>
      <c r="J343" s="16"/>
      <c r="K343" s="16"/>
      <c r="L343" s="16"/>
      <c r="M343" s="16"/>
      <c r="N343" s="16"/>
      <c r="O343" s="16"/>
      <c r="P343" s="212">
        <f t="shared" ref="P343:BK343" si="37">P335*$B$327</f>
        <v>25.3125</v>
      </c>
      <c r="Q343" s="213">
        <f t="shared" si="37"/>
        <v>50.625</v>
      </c>
      <c r="R343" s="213">
        <f t="shared" si="37"/>
        <v>101.25</v>
      </c>
      <c r="S343" s="213">
        <f t="shared" si="37"/>
        <v>202.5</v>
      </c>
      <c r="T343" s="213">
        <f t="shared" si="37"/>
        <v>405</v>
      </c>
      <c r="U343" s="213">
        <f t="shared" si="37"/>
        <v>810</v>
      </c>
      <c r="V343" s="213">
        <f t="shared" si="37"/>
        <v>1620</v>
      </c>
      <c r="W343" s="213">
        <f t="shared" si="37"/>
        <v>3240</v>
      </c>
      <c r="X343" s="213">
        <f t="shared" si="37"/>
        <v>6480</v>
      </c>
      <c r="Y343" s="213">
        <f t="shared" si="37"/>
        <v>12960</v>
      </c>
      <c r="Z343" s="213">
        <f t="shared" si="37"/>
        <v>25920</v>
      </c>
      <c r="AA343" s="213">
        <f t="shared" si="37"/>
        <v>51840</v>
      </c>
      <c r="AB343" s="213">
        <f t="shared" si="37"/>
        <v>103680</v>
      </c>
      <c r="AC343" s="213">
        <f t="shared" si="37"/>
        <v>207360</v>
      </c>
      <c r="AD343" s="213">
        <f t="shared" si="37"/>
        <v>414720</v>
      </c>
      <c r="AE343" s="213">
        <f t="shared" ref="AE343:AG343" si="38">AE335*$B$327</f>
        <v>518400.00000000006</v>
      </c>
      <c r="AF343" s="213">
        <f t="shared" si="38"/>
        <v>622080</v>
      </c>
      <c r="AG343" s="213">
        <f t="shared" si="38"/>
        <v>725760</v>
      </c>
      <c r="AH343" s="213">
        <f t="shared" si="37"/>
        <v>829440</v>
      </c>
      <c r="AI343" s="213">
        <f t="shared" ref="AI343:AK343" si="39">AI335*$B$327</f>
        <v>1061683.2000000002</v>
      </c>
      <c r="AJ343" s="213">
        <f t="shared" si="39"/>
        <v>1244160</v>
      </c>
      <c r="AK343" s="213">
        <f t="shared" si="39"/>
        <v>1451520</v>
      </c>
      <c r="AL343" s="213">
        <f t="shared" si="37"/>
        <v>1658880</v>
      </c>
      <c r="AM343" s="213">
        <f t="shared" ref="AM343:AP343" si="40">AM335*$B$327</f>
        <v>1990656.0000000002</v>
      </c>
      <c r="AN343" s="213">
        <f t="shared" si="40"/>
        <v>2322432</v>
      </c>
      <c r="AO343" s="213">
        <f t="shared" si="40"/>
        <v>2654208</v>
      </c>
      <c r="AP343" s="213">
        <f t="shared" si="40"/>
        <v>2985984</v>
      </c>
      <c r="AQ343" s="213">
        <f t="shared" si="37"/>
        <v>3317760</v>
      </c>
      <c r="AR343" s="213">
        <f t="shared" ref="AR343:AU343" si="41">AR335*$B$327</f>
        <v>3981312.0000000005</v>
      </c>
      <c r="AS343" s="213">
        <f t="shared" si="41"/>
        <v>4644864</v>
      </c>
      <c r="AT343" s="213">
        <f t="shared" si="41"/>
        <v>5308416</v>
      </c>
      <c r="AU343" s="213">
        <f t="shared" si="41"/>
        <v>5971968</v>
      </c>
      <c r="AV343" s="213">
        <f t="shared" si="37"/>
        <v>6635520</v>
      </c>
      <c r="AW343" s="213">
        <f t="shared" ref="AW343:AZ343" si="42">AW335*$B$327</f>
        <v>7962624.0000000009</v>
      </c>
      <c r="AX343" s="213">
        <f t="shared" si="42"/>
        <v>9289728</v>
      </c>
      <c r="AY343" s="213">
        <f t="shared" si="42"/>
        <v>10616832</v>
      </c>
      <c r="AZ343" s="213">
        <f t="shared" si="42"/>
        <v>11943936</v>
      </c>
      <c r="BA343" s="213">
        <f t="shared" si="37"/>
        <v>13271040</v>
      </c>
      <c r="BB343" s="213">
        <f t="shared" si="37"/>
        <v>15925248.000000002</v>
      </c>
      <c r="BC343" s="213">
        <f t="shared" si="37"/>
        <v>18579456</v>
      </c>
      <c r="BD343" s="213">
        <f t="shared" si="37"/>
        <v>21233664</v>
      </c>
      <c r="BE343" s="213">
        <f t="shared" si="37"/>
        <v>23887872</v>
      </c>
      <c r="BF343" s="213">
        <f t="shared" ref="BF343:BJ343" si="43">BF335*$B$327</f>
        <v>26542080</v>
      </c>
      <c r="BG343" s="234">
        <f t="shared" si="43"/>
        <v>53084160</v>
      </c>
      <c r="BH343" s="205">
        <f t="shared" si="43"/>
        <v>106168320</v>
      </c>
      <c r="BI343" s="205">
        <f t="shared" si="43"/>
        <v>212336640</v>
      </c>
      <c r="BJ343" s="206">
        <f t="shared" si="43"/>
        <v>267758055.00000003</v>
      </c>
      <c r="BK343" s="196">
        <f t="shared" si="37"/>
        <v>267758055.00000003</v>
      </c>
      <c r="BL343" s="240">
        <f>BL335*B327</f>
        <v>18743063.850000005</v>
      </c>
      <c r="BM343" s="25"/>
      <c r="BN343" s="25"/>
      <c r="BO343" s="69"/>
    </row>
    <row r="344" spans="1:67" x14ac:dyDescent="0.25">
      <c r="A344" s="41" t="s">
        <v>170</v>
      </c>
      <c r="B344" s="16"/>
      <c r="C344" s="16"/>
      <c r="D344" s="16"/>
      <c r="E344" s="16"/>
      <c r="F344" s="16"/>
      <c r="G344" s="16"/>
      <c r="H344" s="16"/>
      <c r="I344" s="16"/>
      <c r="J344" s="16"/>
      <c r="K344" s="16"/>
      <c r="L344" s="16"/>
      <c r="M344" s="16"/>
      <c r="N344" s="16"/>
      <c r="O344" s="16"/>
      <c r="P344" s="203">
        <f>P343-(1*$B$327)*(2^(((P334 - 14) - $B$331)/$P$360))</f>
        <v>19.620930925469978</v>
      </c>
      <c r="Q344" s="204">
        <f>Q343-(1*$B$327)*(2^(((Q334 - 14) - $B$331)/$P$360))</f>
        <v>36.378729583441825</v>
      </c>
      <c r="R344" s="204">
        <f>R343-(1*$B$327)*(2^(((R334 - 14) - $B$331)/$P$360))</f>
        <v>81.153190145960366</v>
      </c>
      <c r="S344" s="204">
        <f>S343-(1*$B$327)*(2^(((S334 - 14) - $B$331)/$P$360))</f>
        <v>177.22190063694103</v>
      </c>
      <c r="T344" s="202">
        <f t="shared" ref="T344:BK344" si="44">MAX(T343-(($P$335*$B$327)*(2^(((T334 -14) - $P$334)/HLOOKUP((T334-14)-$B$331,$P$358:$BL$360,3,TRUE)))),0)</f>
        <v>373.16151942648673</v>
      </c>
      <c r="U344" s="202">
        <f t="shared" si="44"/>
        <v>765.08635794363818</v>
      </c>
      <c r="V344" s="202">
        <f t="shared" si="44"/>
        <v>1570.8214285714287</v>
      </c>
      <c r="W344" s="202">
        <f t="shared" si="44"/>
        <v>3181.9387841598559</v>
      </c>
      <c r="X344" s="202">
        <f t="shared" si="44"/>
        <v>6379.3926009765419</v>
      </c>
      <c r="Y344" s="202">
        <f t="shared" si="44"/>
        <v>12775.828395301851</v>
      </c>
      <c r="Z344" s="202">
        <f t="shared" si="44"/>
        <v>25528.741071428572</v>
      </c>
      <c r="AA344" s="202">
        <f t="shared" si="44"/>
        <v>50899.098214285717</v>
      </c>
      <c r="AB344" s="202">
        <f t="shared" si="44"/>
        <v>101675.97321428571</v>
      </c>
      <c r="AC344" s="202">
        <f t="shared" si="44"/>
        <v>199007.42614510827</v>
      </c>
      <c r="AD344" s="202">
        <f t="shared" si="44"/>
        <v>324471.53571428568</v>
      </c>
      <c r="AE344" s="202">
        <f t="shared" si="44"/>
        <v>294466.98400587577</v>
      </c>
      <c r="AF344" s="202">
        <f t="shared" si="44"/>
        <v>274931.18493767531</v>
      </c>
      <c r="AG344" s="202">
        <f t="shared" si="44"/>
        <v>0</v>
      </c>
      <c r="AH344" s="202">
        <f t="shared" si="44"/>
        <v>255131.46604280546</v>
      </c>
      <c r="AI344" s="202">
        <f t="shared" si="44"/>
        <v>337075.15777698904</v>
      </c>
      <c r="AJ344" s="202">
        <f t="shared" si="44"/>
        <v>0</v>
      </c>
      <c r="AK344" s="202">
        <f t="shared" si="44"/>
        <v>0</v>
      </c>
      <c r="AL344" s="202">
        <f t="shared" si="44"/>
        <v>0</v>
      </c>
      <c r="AM344" s="202">
        <f t="shared" si="44"/>
        <v>354561.21632199781</v>
      </c>
      <c r="AN344" s="202">
        <f t="shared" si="44"/>
        <v>0</v>
      </c>
      <c r="AO344" s="202">
        <f t="shared" si="44"/>
        <v>0</v>
      </c>
      <c r="AP344" s="202">
        <f t="shared" si="44"/>
        <v>433290.73960375972</v>
      </c>
      <c r="AQ344" s="202">
        <f t="shared" si="44"/>
        <v>462875.17487243796</v>
      </c>
      <c r="AR344" s="202">
        <f t="shared" si="44"/>
        <v>0</v>
      </c>
      <c r="AS344" s="202">
        <f t="shared" si="44"/>
        <v>0</v>
      </c>
      <c r="AT344" s="202">
        <f t="shared" si="44"/>
        <v>0</v>
      </c>
      <c r="AU344" s="202">
        <f t="shared" si="44"/>
        <v>0</v>
      </c>
      <c r="AV344" s="202">
        <f t="shared" si="44"/>
        <v>0</v>
      </c>
      <c r="AW344" s="202">
        <f t="shared" si="44"/>
        <v>0</v>
      </c>
      <c r="AX344" s="202">
        <f t="shared" si="44"/>
        <v>0</v>
      </c>
      <c r="AY344" s="202">
        <f t="shared" si="44"/>
        <v>0</v>
      </c>
      <c r="AZ344" s="202">
        <f t="shared" si="44"/>
        <v>0</v>
      </c>
      <c r="BA344" s="202">
        <f t="shared" si="44"/>
        <v>0</v>
      </c>
      <c r="BB344" s="202">
        <f t="shared" si="44"/>
        <v>0</v>
      </c>
      <c r="BC344" s="202">
        <f t="shared" si="44"/>
        <v>0</v>
      </c>
      <c r="BD344" s="202">
        <f t="shared" si="44"/>
        <v>0</v>
      </c>
      <c r="BE344" s="202">
        <f t="shared" si="44"/>
        <v>0</v>
      </c>
      <c r="BF344" s="202">
        <f t="shared" si="44"/>
        <v>0</v>
      </c>
      <c r="BG344" s="237">
        <f t="shared" si="44"/>
        <v>0</v>
      </c>
      <c r="BH344" s="200">
        <f t="shared" si="44"/>
        <v>0</v>
      </c>
      <c r="BI344" s="200">
        <f t="shared" si="44"/>
        <v>0</v>
      </c>
      <c r="BJ344" s="201">
        <f t="shared" si="44"/>
        <v>0</v>
      </c>
      <c r="BK344" s="196">
        <f t="shared" si="44"/>
        <v>0</v>
      </c>
      <c r="BL344" s="239"/>
      <c r="BM344" s="25"/>
      <c r="BN344" s="25"/>
      <c r="BO344" s="69"/>
    </row>
    <row r="345" spans="1:67" x14ac:dyDescent="0.25">
      <c r="A345" s="62" t="s">
        <v>109</v>
      </c>
      <c r="B345" s="9"/>
      <c r="C345" s="9"/>
      <c r="D345" s="9"/>
      <c r="E345" s="9"/>
      <c r="F345" s="9"/>
      <c r="G345" s="9"/>
      <c r="H345" s="9"/>
      <c r="I345" s="9"/>
      <c r="J345" s="9"/>
      <c r="K345" s="9"/>
      <c r="L345" s="9"/>
      <c r="M345" s="9"/>
      <c r="N345" s="9"/>
      <c r="O345" s="5"/>
      <c r="P345" s="221">
        <f>(1*($B$328+$B$329))*(2^(((P334 - 7) - $B$331)/$P$360))</f>
        <v>2.9796216359494587</v>
      </c>
      <c r="Q345" s="208">
        <f t="shared" ref="Q345:BJ345" si="45">($P$335*($B$328+$B$329))*(2^(((Q334-7)-$P$334)/HLOOKUP((Q334-7)-$B$331,$P$358:$BL$360,3,TRUE)))</f>
        <v>6.6590498985850246</v>
      </c>
      <c r="R345" s="208">
        <f t="shared" si="45"/>
        <v>9.3937329355254953</v>
      </c>
      <c r="S345" s="208">
        <f t="shared" si="45"/>
        <v>11.815592437748149</v>
      </c>
      <c r="T345" s="208">
        <f t="shared" si="45"/>
        <v>12.534285987853202</v>
      </c>
      <c r="U345" s="208">
        <f t="shared" si="45"/>
        <v>23.599266437601273</v>
      </c>
      <c r="V345" s="208">
        <f t="shared" si="45"/>
        <v>49.779972972921911</v>
      </c>
      <c r="W345" s="208">
        <f t="shared" si="45"/>
        <v>108.90640436467176</v>
      </c>
      <c r="X345" s="208">
        <f t="shared" si="45"/>
        <v>220.70535714285711</v>
      </c>
      <c r="Y345" s="208">
        <f t="shared" si="45"/>
        <v>322.92231652302479</v>
      </c>
      <c r="Z345" s="208">
        <f t="shared" si="45"/>
        <v>573.4171414665534</v>
      </c>
      <c r="AA345" s="208">
        <f t="shared" si="45"/>
        <v>1580.5624999999989</v>
      </c>
      <c r="AB345" s="208">
        <f t="shared" si="45"/>
        <v>4157.3376801210561</v>
      </c>
      <c r="AC345" s="208">
        <f t="shared" si="45"/>
        <v>14709.910600081001</v>
      </c>
      <c r="AD345" s="208">
        <f t="shared" si="45"/>
        <v>65577.889617991445</v>
      </c>
      <c r="AE345" s="208">
        <f t="shared" si="45"/>
        <v>155906.69596672634</v>
      </c>
      <c r="AF345" s="272">
        <f t="shared" si="45"/>
        <v>111083.1714562041</v>
      </c>
      <c r="AG345" s="272">
        <f t="shared" si="45"/>
        <v>132795.09456567839</v>
      </c>
      <c r="AH345" s="272">
        <f t="shared" si="45"/>
        <v>155204.27961369391</v>
      </c>
      <c r="AI345" s="208">
        <f t="shared" si="45"/>
        <v>307214.83534303075</v>
      </c>
      <c r="AJ345" s="208">
        <f t="shared" si="45"/>
        <v>366581.47241659305</v>
      </c>
      <c r="AK345" s="208">
        <f t="shared" si="45"/>
        <v>462110.35835268447</v>
      </c>
      <c r="AL345" s="272">
        <f t="shared" si="45"/>
        <v>417421.75695197133</v>
      </c>
      <c r="AM345" s="208">
        <f t="shared" si="45"/>
        <v>776601.23678178014</v>
      </c>
      <c r="AN345" s="274">
        <f t="shared" si="45"/>
        <v>535576.87736278086</v>
      </c>
      <c r="AO345" s="208">
        <f t="shared" si="45"/>
        <v>1505283.6282735416</v>
      </c>
      <c r="AP345" s="208">
        <f t="shared" si="45"/>
        <v>1007486.2274340492</v>
      </c>
      <c r="AQ345" s="208">
        <f t="shared" si="45"/>
        <v>1081162.9236269523</v>
      </c>
      <c r="AR345" s="208">
        <f t="shared" si="45"/>
        <v>2988353.8042221214</v>
      </c>
      <c r="AS345" s="272">
        <f t="shared" si="45"/>
        <v>2980642.3503831089</v>
      </c>
      <c r="AT345" s="274">
        <f t="shared" si="45"/>
        <v>3016801.6222042437</v>
      </c>
      <c r="AU345" s="274">
        <f t="shared" si="45"/>
        <v>3080280.2359318747</v>
      </c>
      <c r="AV345" s="274">
        <f t="shared" si="45"/>
        <v>3161824.1117100432</v>
      </c>
      <c r="AW345" s="274">
        <f t="shared" si="45"/>
        <v>9884248.7762785535</v>
      </c>
      <c r="AX345" s="272">
        <f t="shared" si="45"/>
        <v>9016276.9189222828</v>
      </c>
      <c r="AY345" s="272">
        <f t="shared" si="45"/>
        <v>8568951.1882174071</v>
      </c>
      <c r="AZ345" s="272">
        <f t="shared" si="45"/>
        <v>8351008.5474302145</v>
      </c>
      <c r="BA345" s="272">
        <f t="shared" si="45"/>
        <v>8270696.9823338939</v>
      </c>
      <c r="BB345" s="272">
        <f t="shared" si="45"/>
        <v>8278954.0265677003</v>
      </c>
      <c r="BC345" s="272">
        <f t="shared" si="45"/>
        <v>9166892.6936987825</v>
      </c>
      <c r="BD345" s="274">
        <f t="shared" si="45"/>
        <v>9975490.6192915123</v>
      </c>
      <c r="BE345" s="274">
        <f t="shared" si="45"/>
        <v>10729159.063648926</v>
      </c>
      <c r="BF345" s="274">
        <f t="shared" si="45"/>
        <v>11443588.310596354</v>
      </c>
      <c r="BG345" s="234">
        <f t="shared" si="45"/>
        <v>415178508.47249514</v>
      </c>
      <c r="BH345" s="205">
        <f t="shared" si="45"/>
        <v>343030003.30882382</v>
      </c>
      <c r="BI345" s="205">
        <f t="shared" si="45"/>
        <v>400496398.50006086</v>
      </c>
      <c r="BJ345" s="206">
        <f t="shared" si="45"/>
        <v>557624346.30876577</v>
      </c>
      <c r="BK345" s="205">
        <f>($P$335*($B$328+$B$329))*(2^(((BK334 - 7) - $P$334)/BK360))</f>
        <v>53546733.942037925</v>
      </c>
      <c r="BL345" s="239">
        <f>BL335*(B328+B329)</f>
        <v>4396521.1500000004</v>
      </c>
      <c r="BM345" s="45"/>
      <c r="BN345" s="45"/>
      <c r="BO345" s="69"/>
    </row>
    <row r="346" spans="1:67" x14ac:dyDescent="0.25">
      <c r="A346" s="37" t="s">
        <v>156</v>
      </c>
      <c r="B346" s="38"/>
      <c r="C346" s="39"/>
      <c r="D346" s="39"/>
      <c r="E346" s="39"/>
      <c r="F346" s="39"/>
      <c r="G346" s="39"/>
      <c r="H346" s="39"/>
      <c r="I346" s="39"/>
      <c r="J346" s="39"/>
      <c r="K346" s="39"/>
      <c r="L346" s="39"/>
      <c r="M346" s="39"/>
      <c r="N346" s="39"/>
      <c r="O346" s="63"/>
      <c r="P346" s="203">
        <f t="shared" ref="P346:AC346" si="46">P345</f>
        <v>2.9796216359494587</v>
      </c>
      <c r="Q346" s="204">
        <f t="shared" si="46"/>
        <v>6.6590498985850246</v>
      </c>
      <c r="R346" s="204">
        <f t="shared" si="46"/>
        <v>9.3937329355254953</v>
      </c>
      <c r="S346" s="204">
        <f t="shared" si="46"/>
        <v>11.815592437748149</v>
      </c>
      <c r="T346" s="204">
        <f t="shared" si="46"/>
        <v>12.534285987853202</v>
      </c>
      <c r="U346" s="204">
        <f t="shared" si="46"/>
        <v>23.599266437601273</v>
      </c>
      <c r="V346" s="204">
        <f t="shared" si="46"/>
        <v>49.779972972921911</v>
      </c>
      <c r="W346" s="204">
        <f t="shared" si="46"/>
        <v>108.90640436467176</v>
      </c>
      <c r="X346" s="204">
        <f t="shared" si="46"/>
        <v>220.70535714285711</v>
      </c>
      <c r="Y346" s="204">
        <f t="shared" si="46"/>
        <v>322.92231652302479</v>
      </c>
      <c r="Z346" s="204">
        <f t="shared" si="46"/>
        <v>573.4171414665534</v>
      </c>
      <c r="AA346" s="204">
        <f t="shared" si="46"/>
        <v>1580.5624999999989</v>
      </c>
      <c r="AB346" s="204">
        <f t="shared" si="46"/>
        <v>4157.3376801210561</v>
      </c>
      <c r="AC346" s="204">
        <f t="shared" si="46"/>
        <v>14709.910600081001</v>
      </c>
      <c r="AD346" s="195">
        <f t="shared" ref="AD346:BK346" si="47">MAX(AD345-($P$335*$B$328)*(2^(((AD334 - 42) - $P$334)/HLOOKUP((AD334-42)-$B$331,$P$358:$BL$360,3,TRUE)))-AD348,0)</f>
        <v>60011.596753736201</v>
      </c>
      <c r="AE346" s="195">
        <f t="shared" si="47"/>
        <v>142124.36171205499</v>
      </c>
      <c r="AF346" s="195">
        <f t="shared" si="47"/>
        <v>89737.506502580392</v>
      </c>
      <c r="AG346" s="195">
        <f t="shared" si="47"/>
        <v>82168.218806941761</v>
      </c>
      <c r="AH346" s="195">
        <f t="shared" si="47"/>
        <v>121077.37661798642</v>
      </c>
      <c r="AI346" s="195">
        <f t="shared" si="47"/>
        <v>262773.41927126469</v>
      </c>
      <c r="AJ346" s="195">
        <f t="shared" si="47"/>
        <v>177691.1939028544</v>
      </c>
      <c r="AK346" s="195">
        <f t="shared" si="47"/>
        <v>192853.94336541693</v>
      </c>
      <c r="AL346" s="195">
        <f t="shared" si="47"/>
        <v>253344.27000725653</v>
      </c>
      <c r="AM346" s="195">
        <f t="shared" si="47"/>
        <v>426999.78428715601</v>
      </c>
      <c r="AN346" s="195">
        <f t="shared" si="47"/>
        <v>209737.36799327366</v>
      </c>
      <c r="AO346" s="195">
        <f t="shared" si="47"/>
        <v>1159412.245753163</v>
      </c>
      <c r="AP346" s="195">
        <f t="shared" si="47"/>
        <v>578099.21557629062</v>
      </c>
      <c r="AQ346" s="195">
        <f t="shared" si="47"/>
        <v>354751.36075203074</v>
      </c>
      <c r="AR346" s="195">
        <f t="shared" si="47"/>
        <v>2244323.9956615889</v>
      </c>
      <c r="AS346" s="195">
        <f t="shared" si="47"/>
        <v>1377097.4482461184</v>
      </c>
      <c r="AT346" s="195">
        <f t="shared" si="47"/>
        <v>1351793.9528094539</v>
      </c>
      <c r="AU346" s="195">
        <f t="shared" si="47"/>
        <v>1342206.0075092206</v>
      </c>
      <c r="AV346" s="195">
        <f t="shared" si="47"/>
        <v>1343158.8631907988</v>
      </c>
      <c r="AW346" s="195">
        <f t="shared" si="47"/>
        <v>6805798.372901272</v>
      </c>
      <c r="AX346" s="195">
        <f t="shared" si="47"/>
        <v>5910769.3550842647</v>
      </c>
      <c r="AY346" s="195">
        <f t="shared" si="47"/>
        <v>5373391.8762560003</v>
      </c>
      <c r="AZ346" s="195">
        <f t="shared" si="47"/>
        <v>5030052.2833984699</v>
      </c>
      <c r="BA346" s="195">
        <f t="shared" si="47"/>
        <v>4802683.2229369599</v>
      </c>
      <c r="BB346" s="195">
        <f t="shared" si="47"/>
        <v>4649718.9781015571</v>
      </c>
      <c r="BC346" s="195">
        <f t="shared" si="47"/>
        <v>5005708.8842025297</v>
      </c>
      <c r="BD346" s="195">
        <f t="shared" si="47"/>
        <v>5306316.2673581792</v>
      </c>
      <c r="BE346" s="195">
        <f t="shared" si="47"/>
        <v>5569467.209958964</v>
      </c>
      <c r="BF346" s="195">
        <f t="shared" si="47"/>
        <v>5806482.8815662758</v>
      </c>
      <c r="BG346" s="237">
        <f t="shared" si="47"/>
        <v>206225349.55184683</v>
      </c>
      <c r="BH346" s="200">
        <f t="shared" si="47"/>
        <v>157102643.65965512</v>
      </c>
      <c r="BI346" s="200">
        <f t="shared" si="47"/>
        <v>173162609.76218724</v>
      </c>
      <c r="BJ346" s="201">
        <f t="shared" si="47"/>
        <v>230969205.85192645</v>
      </c>
      <c r="BK346" s="196">
        <f t="shared" si="47"/>
        <v>0</v>
      </c>
      <c r="BL346" s="240"/>
      <c r="BM346" s="45"/>
      <c r="BN346" s="45"/>
      <c r="BO346" s="69"/>
    </row>
    <row r="347" spans="1:67" x14ac:dyDescent="0.25">
      <c r="A347" s="62" t="s">
        <v>110</v>
      </c>
      <c r="B347" s="9"/>
      <c r="C347" s="9"/>
      <c r="D347" s="9"/>
      <c r="E347" s="9"/>
      <c r="F347" s="9"/>
      <c r="G347" s="9"/>
      <c r="H347" s="9"/>
      <c r="I347" s="9"/>
      <c r="J347" s="9"/>
      <c r="K347" s="9"/>
      <c r="L347" s="9"/>
      <c r="M347" s="9"/>
      <c r="N347" s="9"/>
      <c r="O347" s="5"/>
      <c r="P347" s="221">
        <f>(1*$B$329)*(2^(((P334 - 14) -$B$331)/$P$360))</f>
        <v>0.35133142435370507</v>
      </c>
      <c r="Q347" s="219">
        <f>(1*$B$329)*(2^(((Q334 - 14) -$B$331)/$P$360))</f>
        <v>0.8793994084295168</v>
      </c>
      <c r="R347" s="219">
        <f>(1*$B$329)*(2^(((R334 - 14) -$B$331)/$P$360))</f>
        <v>1.2405438181505943</v>
      </c>
      <c r="S347" s="219">
        <f>(1*$B$329)*(2^(((S334 - 14) -$B$331)/$P$360))</f>
        <v>1.5603765038925292</v>
      </c>
      <c r="T347" s="208">
        <f t="shared" ref="T347:BK347" si="48">($P$335*$B$329)*(2^(((T334 - 14) - $P$334)/HLOOKUP((T334-14)-$B$331,$P$358:$BL$360,3,TRUE)))</f>
        <v>1.9653383070069901</v>
      </c>
      <c r="U347" s="208">
        <f t="shared" si="48"/>
        <v>2.7724470405161594</v>
      </c>
      <c r="V347" s="208">
        <f t="shared" si="48"/>
        <v>3.0357142857142851</v>
      </c>
      <c r="W347" s="208">
        <f t="shared" si="48"/>
        <v>3.5840256691447028</v>
      </c>
      <c r="X347" s="208">
        <f t="shared" si="48"/>
        <v>6.2103332730529663</v>
      </c>
      <c r="Y347" s="208">
        <f t="shared" si="48"/>
        <v>11.368617573959821</v>
      </c>
      <c r="Z347" s="208">
        <f t="shared" si="48"/>
        <v>24.151785714285708</v>
      </c>
      <c r="AA347" s="208">
        <f t="shared" si="48"/>
        <v>58.080357142857132</v>
      </c>
      <c r="AB347" s="208">
        <f t="shared" si="48"/>
        <v>123.70535714285711</v>
      </c>
      <c r="AC347" s="208">
        <f t="shared" si="48"/>
        <v>515.59097869702066</v>
      </c>
      <c r="AD347" s="208">
        <f t="shared" si="48"/>
        <v>5570.8928571428578</v>
      </c>
      <c r="AE347" s="208">
        <f t="shared" si="48"/>
        <v>13823.025678649645</v>
      </c>
      <c r="AF347" s="208">
        <f t="shared" si="48"/>
        <v>21428.939201378067</v>
      </c>
      <c r="AG347" s="208">
        <f t="shared" si="48"/>
        <v>50945.755168707459</v>
      </c>
      <c r="AH347" s="272">
        <f t="shared" si="48"/>
        <v>35451.144071431758</v>
      </c>
      <c r="AI347" s="272">
        <f t="shared" si="48"/>
        <v>44728.891495247604</v>
      </c>
      <c r="AJ347" s="208">
        <f t="shared" si="48"/>
        <v>144907.46798650004</v>
      </c>
      <c r="AK347" s="208">
        <f t="shared" si="48"/>
        <v>181438.18611984747</v>
      </c>
      <c r="AL347" s="272">
        <f t="shared" si="48"/>
        <v>173150.71064765757</v>
      </c>
      <c r="AM347" s="272">
        <f t="shared" si="48"/>
        <v>100993.5051653088</v>
      </c>
      <c r="AN347" s="272">
        <f t="shared" si="48"/>
        <v>269572.95339470595</v>
      </c>
      <c r="AO347" s="272">
        <f t="shared" si="48"/>
        <v>219028.53962313666</v>
      </c>
      <c r="AP347" s="272">
        <f t="shared" si="48"/>
        <v>157573.65804915063</v>
      </c>
      <c r="AQ347" s="272">
        <f t="shared" si="48"/>
        <v>176227.45834120753</v>
      </c>
      <c r="AR347" s="274">
        <f t="shared" si="48"/>
        <v>504467.2356295627</v>
      </c>
      <c r="AS347" s="274">
        <f t="shared" si="48"/>
        <v>532293.27737563313</v>
      </c>
      <c r="AT347" s="274">
        <f t="shared" si="48"/>
        <v>562560.37901915691</v>
      </c>
      <c r="AU347" s="274">
        <f t="shared" si="48"/>
        <v>594442.6733543023</v>
      </c>
      <c r="AV347" s="274">
        <f t="shared" si="48"/>
        <v>627439.75900956581</v>
      </c>
      <c r="AW347" s="274">
        <f t="shared" si="48"/>
        <v>2007378.9814925301</v>
      </c>
      <c r="AX347" s="272">
        <f t="shared" si="48"/>
        <v>1898640.8817086103</v>
      </c>
      <c r="AY347" s="272">
        <f t="shared" si="48"/>
        <v>1853975.9467149482</v>
      </c>
      <c r="AZ347" s="272">
        <f t="shared" si="48"/>
        <v>1845238.1566848119</v>
      </c>
      <c r="BA347" s="272">
        <f t="shared" si="48"/>
        <v>1858514.2627850329</v>
      </c>
      <c r="BB347" s="272">
        <f t="shared" si="48"/>
        <v>1886190.1188365638</v>
      </c>
      <c r="BC347" s="274">
        <f t="shared" si="48"/>
        <v>2110795.4131843499</v>
      </c>
      <c r="BD347" s="274">
        <f t="shared" si="48"/>
        <v>2318203.2875881912</v>
      </c>
      <c r="BE347" s="274">
        <f t="shared" si="48"/>
        <v>2513416.8129098802</v>
      </c>
      <c r="BF347" s="274">
        <f t="shared" si="48"/>
        <v>2699724.1687474009</v>
      </c>
      <c r="BG347" s="234">
        <f t="shared" si="48"/>
        <v>98559358.993281186</v>
      </c>
      <c r="BH347" s="205">
        <f t="shared" si="48"/>
        <v>83170165.994121224</v>
      </c>
      <c r="BI347" s="205">
        <f t="shared" si="48"/>
        <v>98360079.025587425</v>
      </c>
      <c r="BJ347" s="206">
        <f t="shared" si="48"/>
        <v>138140075.24731678</v>
      </c>
      <c r="BK347" s="205">
        <f t="shared" si="48"/>
        <v>214282694.50768462</v>
      </c>
      <c r="BL347" s="239">
        <f>BL335*B329</f>
        <v>1156979.2500000002</v>
      </c>
      <c r="BM347" s="45"/>
      <c r="BN347" s="45"/>
      <c r="BO347" s="69"/>
    </row>
    <row r="348" spans="1:67" x14ac:dyDescent="0.25">
      <c r="A348" s="37" t="s">
        <v>157</v>
      </c>
      <c r="B348" s="38"/>
      <c r="C348" s="39"/>
      <c r="D348" s="39"/>
      <c r="E348" s="39"/>
      <c r="F348" s="39"/>
      <c r="G348" s="39"/>
      <c r="H348" s="39"/>
      <c r="I348" s="39"/>
      <c r="J348" s="39"/>
      <c r="K348" s="39"/>
      <c r="L348" s="39"/>
      <c r="M348" s="39"/>
      <c r="N348" s="39"/>
      <c r="O348" s="63"/>
      <c r="P348" s="203">
        <f t="shared" ref="P348:AA348" si="49">P347</f>
        <v>0.35133142435370507</v>
      </c>
      <c r="Q348" s="204">
        <f t="shared" si="49"/>
        <v>0.8793994084295168</v>
      </c>
      <c r="R348" s="204">
        <f t="shared" si="49"/>
        <v>1.2405438181505943</v>
      </c>
      <c r="S348" s="204">
        <f t="shared" si="49"/>
        <v>1.5603765038925292</v>
      </c>
      <c r="T348" s="204">
        <f t="shared" si="49"/>
        <v>1.9653383070069901</v>
      </c>
      <c r="U348" s="204">
        <f t="shared" si="49"/>
        <v>2.7724470405161594</v>
      </c>
      <c r="V348" s="204">
        <f t="shared" si="49"/>
        <v>3.0357142857142851</v>
      </c>
      <c r="W348" s="204">
        <f t="shared" si="49"/>
        <v>3.5840256691447028</v>
      </c>
      <c r="X348" s="204">
        <f t="shared" si="49"/>
        <v>6.2103332730529663</v>
      </c>
      <c r="Y348" s="204">
        <f t="shared" si="49"/>
        <v>11.368617573959821</v>
      </c>
      <c r="Z348" s="204">
        <f t="shared" si="49"/>
        <v>24.151785714285708</v>
      </c>
      <c r="AA348" s="204">
        <f t="shared" si="49"/>
        <v>58.080357142857132</v>
      </c>
      <c r="AB348" s="202">
        <f t="shared" ref="AB348:BK348" si="50">MAX(AB347-($P$335*$B$329)*(2^(((AB334 - 35) - $P$334)/HLOOKUP((AB334-35)-$B$331,$P$358:$BL$360,3,TRUE))),0)</f>
        <v>121.95297559059789</v>
      </c>
      <c r="AC348" s="202">
        <f t="shared" si="50"/>
        <v>512.48161226603429</v>
      </c>
      <c r="AD348" s="202">
        <f t="shared" si="50"/>
        <v>5557.792864255247</v>
      </c>
      <c r="AE348" s="202">
        <f t="shared" si="50"/>
        <v>13764.945321506788</v>
      </c>
      <c r="AF348" s="202">
        <f t="shared" si="50"/>
        <v>21278.039953623709</v>
      </c>
      <c r="AG348" s="202">
        <f t="shared" si="50"/>
        <v>50430.164190010437</v>
      </c>
      <c r="AH348" s="202">
        <f t="shared" si="50"/>
        <v>33551.402995707496</v>
      </c>
      <c r="AI348" s="202">
        <f t="shared" si="50"/>
        <v>31563.302331317282</v>
      </c>
      <c r="AJ348" s="202">
        <f t="shared" si="50"/>
        <v>105867.17701365154</v>
      </c>
      <c r="AK348" s="202">
        <f t="shared" si="50"/>
        <v>125567.8816945006</v>
      </c>
      <c r="AL348" s="202">
        <f t="shared" si="50"/>
        <v>16518.266314172652</v>
      </c>
      <c r="AM348" s="202">
        <f t="shared" si="50"/>
        <v>17852.036103622348</v>
      </c>
      <c r="AN348" s="202">
        <f t="shared" si="50"/>
        <v>0</v>
      </c>
      <c r="AO348" s="202">
        <f t="shared" si="50"/>
        <v>0</v>
      </c>
      <c r="AP348" s="202">
        <f t="shared" si="50"/>
        <v>25769.631393685995</v>
      </c>
      <c r="AQ348" s="202">
        <f t="shared" si="50"/>
        <v>0</v>
      </c>
      <c r="AR348" s="202">
        <f t="shared" si="50"/>
        <v>178220.76324596221</v>
      </c>
      <c r="AS348" s="202">
        <f t="shared" si="50"/>
        <v>0</v>
      </c>
      <c r="AT348" s="202">
        <f t="shared" si="50"/>
        <v>0</v>
      </c>
      <c r="AU348" s="202">
        <f t="shared" si="50"/>
        <v>0</v>
      </c>
      <c r="AV348" s="202">
        <f t="shared" si="50"/>
        <v>0</v>
      </c>
      <c r="AW348" s="202">
        <f t="shared" si="50"/>
        <v>1084728.3633519062</v>
      </c>
      <c r="AX348" s="202">
        <f t="shared" si="50"/>
        <v>925803.21822438587</v>
      </c>
      <c r="AY348" s="202">
        <f t="shared" si="50"/>
        <v>823627.39626692282</v>
      </c>
      <c r="AZ348" s="202">
        <f t="shared" si="50"/>
        <v>752933.68506485573</v>
      </c>
      <c r="BA348" s="202">
        <f t="shared" si="50"/>
        <v>701368.54026589193</v>
      </c>
      <c r="BB348" s="202">
        <f t="shared" si="50"/>
        <v>662232.89866957441</v>
      </c>
      <c r="BC348" s="202">
        <f t="shared" si="50"/>
        <v>696731.90726968925</v>
      </c>
      <c r="BD348" s="202">
        <f t="shared" si="50"/>
        <v>721757.9026097178</v>
      </c>
      <c r="BE348" s="202">
        <f t="shared" si="50"/>
        <v>740404.29606430908</v>
      </c>
      <c r="BF348" s="202">
        <f t="shared" si="50"/>
        <v>754625.25413107104</v>
      </c>
      <c r="BG348" s="237">
        <f t="shared" si="50"/>
        <v>26209501.858337373</v>
      </c>
      <c r="BH348" s="200">
        <f t="shared" si="50"/>
        <v>18123545.092120029</v>
      </c>
      <c r="BI348" s="200">
        <f t="shared" si="50"/>
        <v>18407878.598609343</v>
      </c>
      <c r="BJ348" s="201">
        <f t="shared" si="50"/>
        <v>22899780.234400392</v>
      </c>
      <c r="BK348" s="196">
        <f t="shared" si="50"/>
        <v>32155281.659299791</v>
      </c>
      <c r="BL348" s="239"/>
      <c r="BM348" s="45"/>
      <c r="BN348" s="45"/>
      <c r="BO348" s="69"/>
    </row>
    <row r="349" spans="1:67" x14ac:dyDescent="0.25">
      <c r="A349" s="41" t="s">
        <v>56</v>
      </c>
      <c r="B349" s="15"/>
      <c r="C349" s="16"/>
      <c r="D349" s="16"/>
      <c r="E349" s="16"/>
      <c r="F349" s="16"/>
      <c r="G349" s="16"/>
      <c r="H349" s="16"/>
      <c r="I349" s="16"/>
      <c r="J349" s="16"/>
      <c r="K349" s="16"/>
      <c r="L349" s="16"/>
      <c r="M349" s="16"/>
      <c r="N349" s="16"/>
      <c r="O349" s="16"/>
      <c r="P349" s="222">
        <f t="shared" ref="P349:BK349" si="51">P335*$B$330</f>
        <v>1.4375</v>
      </c>
      <c r="Q349" s="223">
        <f t="shared" ref="Q349:AN349" si="52">Q335*$B$330</f>
        <v>2.875</v>
      </c>
      <c r="R349" s="223">
        <f t="shared" si="52"/>
        <v>5.75</v>
      </c>
      <c r="S349" s="223">
        <f t="shared" si="52"/>
        <v>11.5</v>
      </c>
      <c r="T349" s="223">
        <f t="shared" si="52"/>
        <v>23</v>
      </c>
      <c r="U349" s="223">
        <f t="shared" si="52"/>
        <v>46</v>
      </c>
      <c r="V349" s="223">
        <f t="shared" si="52"/>
        <v>92</v>
      </c>
      <c r="W349" s="223">
        <f t="shared" si="52"/>
        <v>184</v>
      </c>
      <c r="X349" s="223">
        <f t="shared" si="52"/>
        <v>368</v>
      </c>
      <c r="Y349" s="223">
        <f t="shared" si="52"/>
        <v>736</v>
      </c>
      <c r="Z349" s="223">
        <f t="shared" si="52"/>
        <v>1472</v>
      </c>
      <c r="AA349" s="223">
        <f t="shared" si="52"/>
        <v>2944</v>
      </c>
      <c r="AB349" s="223">
        <f t="shared" si="52"/>
        <v>5888</v>
      </c>
      <c r="AC349" s="223">
        <f t="shared" si="52"/>
        <v>11776</v>
      </c>
      <c r="AD349" s="223">
        <f t="shared" si="52"/>
        <v>23552</v>
      </c>
      <c r="AE349" s="223">
        <f t="shared" si="52"/>
        <v>29440</v>
      </c>
      <c r="AF349" s="223">
        <f t="shared" si="52"/>
        <v>35328</v>
      </c>
      <c r="AG349" s="223">
        <f t="shared" si="52"/>
        <v>41216</v>
      </c>
      <c r="AH349" s="223">
        <f t="shared" si="52"/>
        <v>47104</v>
      </c>
      <c r="AI349" s="223">
        <f t="shared" si="52"/>
        <v>60293.119999999995</v>
      </c>
      <c r="AJ349" s="223">
        <f t="shared" si="52"/>
        <v>70656</v>
      </c>
      <c r="AK349" s="223">
        <f t="shared" si="52"/>
        <v>82432</v>
      </c>
      <c r="AL349" s="223">
        <f t="shared" si="52"/>
        <v>94208</v>
      </c>
      <c r="AM349" s="223">
        <f t="shared" si="52"/>
        <v>113049.59999999999</v>
      </c>
      <c r="AN349" s="223">
        <f t="shared" si="52"/>
        <v>131891.20000000001</v>
      </c>
      <c r="AO349" s="223">
        <f t="shared" ref="AO349:AP349" si="53">AO335*$B$330</f>
        <v>150732.79999999999</v>
      </c>
      <c r="AP349" s="223">
        <f t="shared" si="53"/>
        <v>169574.39999999999</v>
      </c>
      <c r="AQ349" s="223">
        <f t="shared" si="51"/>
        <v>188416</v>
      </c>
      <c r="AR349" s="223">
        <f t="shared" ref="AR349:AU349" si="54">AR335*$B$330</f>
        <v>226099.19999999998</v>
      </c>
      <c r="AS349" s="223">
        <f t="shared" si="54"/>
        <v>263782.40000000002</v>
      </c>
      <c r="AT349" s="223">
        <f t="shared" si="54"/>
        <v>301465.59999999998</v>
      </c>
      <c r="AU349" s="223">
        <f t="shared" si="54"/>
        <v>339148.79999999999</v>
      </c>
      <c r="AV349" s="223">
        <f t="shared" si="51"/>
        <v>376832</v>
      </c>
      <c r="AW349" s="223">
        <f t="shared" ref="AW349:AZ349" si="55">AW335*$B$330</f>
        <v>452198.39999999997</v>
      </c>
      <c r="AX349" s="223">
        <f t="shared" si="55"/>
        <v>527564.80000000005</v>
      </c>
      <c r="AY349" s="223">
        <f t="shared" si="55"/>
        <v>602931.19999999995</v>
      </c>
      <c r="AZ349" s="223">
        <f t="shared" si="55"/>
        <v>678297.59999999998</v>
      </c>
      <c r="BA349" s="223">
        <f t="shared" si="51"/>
        <v>753664</v>
      </c>
      <c r="BB349" s="223">
        <f t="shared" si="51"/>
        <v>904396.79999999993</v>
      </c>
      <c r="BC349" s="223">
        <f t="shared" si="51"/>
        <v>1055129.6000000001</v>
      </c>
      <c r="BD349" s="223">
        <f t="shared" si="51"/>
        <v>1205862.3999999999</v>
      </c>
      <c r="BE349" s="223">
        <f t="shared" si="51"/>
        <v>1356595.2</v>
      </c>
      <c r="BF349" s="223">
        <f t="shared" ref="BF349:BJ349" si="56">BF335*$B$330</f>
        <v>1507328</v>
      </c>
      <c r="BG349" s="236">
        <f t="shared" si="56"/>
        <v>3014656</v>
      </c>
      <c r="BH349" s="196">
        <f t="shared" si="56"/>
        <v>6029312</v>
      </c>
      <c r="BI349" s="196">
        <f t="shared" si="56"/>
        <v>12058624</v>
      </c>
      <c r="BJ349" s="197">
        <f t="shared" si="56"/>
        <v>15206013</v>
      </c>
      <c r="BK349" s="205">
        <f t="shared" si="51"/>
        <v>15206013</v>
      </c>
      <c r="BL349" s="239">
        <f>BL335*B330</f>
        <v>1064420.9100000001</v>
      </c>
      <c r="BM349" s="45"/>
      <c r="BN349" s="45"/>
      <c r="BO349" s="69"/>
    </row>
    <row r="350" spans="1:67" x14ac:dyDescent="0.25">
      <c r="A350" s="37" t="s">
        <v>55</v>
      </c>
      <c r="B350" s="38"/>
      <c r="C350" s="39"/>
      <c r="D350" s="39"/>
      <c r="E350" s="39"/>
      <c r="F350" s="39"/>
      <c r="G350" s="39"/>
      <c r="H350" s="39"/>
      <c r="I350" s="39"/>
      <c r="J350" s="39"/>
      <c r="K350" s="39"/>
      <c r="L350" s="39"/>
      <c r="M350" s="39"/>
      <c r="N350" s="39"/>
      <c r="O350" s="39"/>
      <c r="P350" s="198"/>
      <c r="Q350" s="199"/>
      <c r="R350" s="199"/>
      <c r="S350" s="199"/>
      <c r="T350" s="199"/>
      <c r="U350" s="199"/>
      <c r="V350" s="199"/>
      <c r="W350" s="199"/>
      <c r="X350" s="199"/>
      <c r="Y350" s="199"/>
      <c r="Z350" s="199"/>
      <c r="AA350" s="199"/>
      <c r="AB350" s="207">
        <f t="shared" ref="AB350:BK350" si="57">($P$335*$B$330)*(2^(((AB334-35)-$P$334)/HLOOKUP((AB334-35)-$B$331,$P$358:$BL$360,3,TRUE)))</f>
        <v>1.6121910280784795</v>
      </c>
      <c r="AC350" s="207">
        <f t="shared" si="57"/>
        <v>2.8606171165074468</v>
      </c>
      <c r="AD350" s="207">
        <f t="shared" si="57"/>
        <v>12.051993456602146</v>
      </c>
      <c r="AE350" s="207">
        <f t="shared" si="57"/>
        <v>53.433928571428559</v>
      </c>
      <c r="AF350" s="207">
        <f t="shared" si="57"/>
        <v>138.82730793400768</v>
      </c>
      <c r="AG350" s="207">
        <f t="shared" si="57"/>
        <v>474.34370040125901</v>
      </c>
      <c r="AH350" s="207">
        <f t="shared" si="57"/>
        <v>1747.7617896663196</v>
      </c>
      <c r="AI350" s="207">
        <f t="shared" si="57"/>
        <v>12112.342030815895</v>
      </c>
      <c r="AJ350" s="207">
        <f t="shared" si="57"/>
        <v>35917.067695020618</v>
      </c>
      <c r="AK350" s="207">
        <f t="shared" si="57"/>
        <v>51400.680071319126</v>
      </c>
      <c r="AL350" s="207">
        <f t="shared" si="57"/>
        <v>144101.84878680611</v>
      </c>
      <c r="AM350" s="207">
        <f t="shared" si="57"/>
        <v>76490.151536751539</v>
      </c>
      <c r="AN350" s="207">
        <f t="shared" si="57"/>
        <v>251965.58190094412</v>
      </c>
      <c r="AO350" s="207">
        <f t="shared" si="57"/>
        <v>229966.96925016301</v>
      </c>
      <c r="AP350" s="207">
        <f t="shared" si="57"/>
        <v>121259.70452302747</v>
      </c>
      <c r="AQ350" s="207">
        <f t="shared" si="57"/>
        <v>431664.74334083998</v>
      </c>
      <c r="AR350" s="207">
        <f t="shared" si="57"/>
        <v>300146.75459291245</v>
      </c>
      <c r="AS350" s="207">
        <f t="shared" si="57"/>
        <v>821346.430959914</v>
      </c>
      <c r="AT350" s="207">
        <f t="shared" si="57"/>
        <v>806160.14607977308</v>
      </c>
      <c r="AU350" s="207">
        <f t="shared" si="57"/>
        <v>805920.36591869674</v>
      </c>
      <c r="AV350" s="207">
        <f t="shared" si="57"/>
        <v>814852.90525720664</v>
      </c>
      <c r="AW350" s="207">
        <f t="shared" si="57"/>
        <v>848838.56868937379</v>
      </c>
      <c r="AX350" s="207">
        <f t="shared" si="57"/>
        <v>895010.65040548658</v>
      </c>
      <c r="AY350" s="207">
        <f t="shared" si="57"/>
        <v>947920.66641218332</v>
      </c>
      <c r="AZ350" s="207">
        <f t="shared" si="57"/>
        <v>1004920.1138903596</v>
      </c>
      <c r="BA350" s="207">
        <f t="shared" si="57"/>
        <v>1064574.0647176097</v>
      </c>
      <c r="BB350" s="207">
        <f t="shared" si="57"/>
        <v>1126040.6425536301</v>
      </c>
      <c r="BC350" s="207">
        <f t="shared" si="57"/>
        <v>1300938.4254414877</v>
      </c>
      <c r="BD350" s="207">
        <f t="shared" si="57"/>
        <v>1468729.7541801955</v>
      </c>
      <c r="BE350" s="207">
        <f t="shared" si="57"/>
        <v>1631171.5154979252</v>
      </c>
      <c r="BF350" s="207">
        <f t="shared" si="57"/>
        <v>1789491.0014470234</v>
      </c>
      <c r="BG350" s="237">
        <f t="shared" si="57"/>
        <v>66561868.564148314</v>
      </c>
      <c r="BH350" s="200">
        <f t="shared" si="57"/>
        <v>59842891.229841098</v>
      </c>
      <c r="BI350" s="200">
        <f t="shared" si="57"/>
        <v>73556024.392819837</v>
      </c>
      <c r="BJ350" s="201">
        <f t="shared" si="57"/>
        <v>106021071.41188309</v>
      </c>
      <c r="BK350" s="200">
        <f t="shared" si="57"/>
        <v>167557219.82051405</v>
      </c>
      <c r="BL350" s="241">
        <f>($P$335*$B$330)*(2^(((BL334 - 35) - $P$334)/BL360))</f>
        <v>10833093.778396705</v>
      </c>
      <c r="BM350" s="45"/>
      <c r="BN350" s="45"/>
      <c r="BO350" s="69"/>
    </row>
    <row r="351" spans="1:67" s="69" customFormat="1" hidden="1" x14ac:dyDescent="0.25">
      <c r="A351" s="48" t="s">
        <v>104</v>
      </c>
      <c r="B351" s="25"/>
      <c r="C351" s="47"/>
      <c r="D351" s="47"/>
      <c r="E351" s="47"/>
      <c r="F351" s="47"/>
      <c r="G351" s="47"/>
      <c r="H351" s="47"/>
      <c r="I351" s="47"/>
      <c r="J351" s="47"/>
      <c r="K351" s="47"/>
      <c r="L351" s="47"/>
      <c r="M351" s="47"/>
      <c r="N351" s="47"/>
      <c r="O351" s="47"/>
      <c r="P351" s="150">
        <f t="shared" ref="P351:BK351" si="58">P334-7</f>
        <v>43875</v>
      </c>
      <c r="Q351" s="150">
        <f t="shared" si="58"/>
        <v>43883</v>
      </c>
      <c r="R351" s="150">
        <f t="shared" si="58"/>
        <v>43886</v>
      </c>
      <c r="S351" s="150">
        <f t="shared" si="58"/>
        <v>43888</v>
      </c>
      <c r="T351" s="150">
        <f t="shared" si="58"/>
        <v>43891</v>
      </c>
      <c r="U351" s="150">
        <f t="shared" si="58"/>
        <v>43894</v>
      </c>
      <c r="V351" s="150">
        <f t="shared" si="58"/>
        <v>43897</v>
      </c>
      <c r="W351" s="150">
        <f t="shared" si="58"/>
        <v>43899</v>
      </c>
      <c r="X351" s="150">
        <f t="shared" si="58"/>
        <v>43901</v>
      </c>
      <c r="Y351" s="150">
        <f t="shared" si="58"/>
        <v>43903</v>
      </c>
      <c r="Z351" s="150">
        <f t="shared" si="58"/>
        <v>43905</v>
      </c>
      <c r="AA351" s="150">
        <f t="shared" si="58"/>
        <v>43908</v>
      </c>
      <c r="AB351" s="150">
        <f t="shared" si="58"/>
        <v>43911</v>
      </c>
      <c r="AC351" s="150">
        <f t="shared" si="58"/>
        <v>43916</v>
      </c>
      <c r="AD351" s="150">
        <f t="shared" si="58"/>
        <v>43925</v>
      </c>
      <c r="AE351" s="150"/>
      <c r="AF351" s="150"/>
      <c r="AG351" s="150"/>
      <c r="AH351" s="150">
        <f t="shared" si="58"/>
        <v>43941</v>
      </c>
      <c r="AI351" s="150"/>
      <c r="AJ351" s="150"/>
      <c r="AK351" s="150"/>
      <c r="AL351" s="150">
        <f t="shared" si="58"/>
        <v>43984</v>
      </c>
      <c r="AM351" s="150"/>
      <c r="AN351" s="150"/>
      <c r="AO351" s="150"/>
      <c r="AP351" s="150"/>
      <c r="AQ351" s="150">
        <f t="shared" si="58"/>
        <v>44059</v>
      </c>
      <c r="AR351" s="150"/>
      <c r="AS351" s="150"/>
      <c r="AT351" s="150"/>
      <c r="AU351" s="150"/>
      <c r="AV351" s="150">
        <f t="shared" si="58"/>
        <v>44209</v>
      </c>
      <c r="AW351" s="150"/>
      <c r="AX351" s="150"/>
      <c r="AY351" s="150"/>
      <c r="AZ351" s="150"/>
      <c r="BA351" s="150">
        <f t="shared" si="58"/>
        <v>44509</v>
      </c>
      <c r="BB351" s="150"/>
      <c r="BC351" s="150"/>
      <c r="BD351" s="150"/>
      <c r="BE351" s="150"/>
      <c r="BF351" s="150"/>
      <c r="BG351" s="150"/>
      <c r="BH351" s="150"/>
      <c r="BI351" s="150"/>
      <c r="BJ351" s="150"/>
      <c r="BK351" s="150">
        <f t="shared" si="58"/>
        <v>46309</v>
      </c>
      <c r="BL351" s="150"/>
      <c r="BM351" s="45"/>
      <c r="BN351" s="45"/>
    </row>
    <row r="352" spans="1:67" s="69" customFormat="1" hidden="1" x14ac:dyDescent="0.25">
      <c r="A352" s="48" t="s">
        <v>102</v>
      </c>
      <c r="B352" s="25"/>
      <c r="C352" s="47"/>
      <c r="D352" s="47"/>
      <c r="E352" s="47"/>
      <c r="F352" s="47"/>
      <c r="G352" s="47"/>
      <c r="H352" s="47"/>
      <c r="I352" s="47"/>
      <c r="J352" s="47"/>
      <c r="K352" s="47"/>
      <c r="L352" s="47"/>
      <c r="M352" s="47"/>
      <c r="N352" s="47"/>
      <c r="O352" s="47"/>
      <c r="P352" s="150">
        <f t="shared" ref="P352:BK352" si="59">P334-14</f>
        <v>43868</v>
      </c>
      <c r="Q352" s="150">
        <f t="shared" si="59"/>
        <v>43876</v>
      </c>
      <c r="R352" s="150">
        <f t="shared" si="59"/>
        <v>43879</v>
      </c>
      <c r="S352" s="150">
        <f t="shared" si="59"/>
        <v>43881</v>
      </c>
      <c r="T352" s="150">
        <f t="shared" si="59"/>
        <v>43884</v>
      </c>
      <c r="U352" s="150">
        <f t="shared" si="59"/>
        <v>43887</v>
      </c>
      <c r="V352" s="150">
        <f t="shared" si="59"/>
        <v>43890</v>
      </c>
      <c r="W352" s="150">
        <f t="shared" si="59"/>
        <v>43892</v>
      </c>
      <c r="X352" s="150">
        <f t="shared" si="59"/>
        <v>43894</v>
      </c>
      <c r="Y352" s="150">
        <f t="shared" si="59"/>
        <v>43896</v>
      </c>
      <c r="Z352" s="150">
        <f t="shared" si="59"/>
        <v>43898</v>
      </c>
      <c r="AA352" s="150">
        <f t="shared" si="59"/>
        <v>43901</v>
      </c>
      <c r="AB352" s="150">
        <f t="shared" si="59"/>
        <v>43904</v>
      </c>
      <c r="AC352" s="150">
        <f t="shared" si="59"/>
        <v>43909</v>
      </c>
      <c r="AD352" s="150">
        <f t="shared" si="59"/>
        <v>43918</v>
      </c>
      <c r="AE352" s="150"/>
      <c r="AF352" s="150"/>
      <c r="AG352" s="150"/>
      <c r="AH352" s="150">
        <f t="shared" si="59"/>
        <v>43934</v>
      </c>
      <c r="AI352" s="150"/>
      <c r="AJ352" s="150"/>
      <c r="AK352" s="150"/>
      <c r="AL352" s="150">
        <f t="shared" si="59"/>
        <v>43977</v>
      </c>
      <c r="AM352" s="150"/>
      <c r="AN352" s="150"/>
      <c r="AO352" s="150"/>
      <c r="AP352" s="150"/>
      <c r="AQ352" s="150">
        <f t="shared" si="59"/>
        <v>44052</v>
      </c>
      <c r="AR352" s="150"/>
      <c r="AS352" s="150"/>
      <c r="AT352" s="150"/>
      <c r="AU352" s="150"/>
      <c r="AV352" s="150">
        <f t="shared" si="59"/>
        <v>44202</v>
      </c>
      <c r="AW352" s="150"/>
      <c r="AX352" s="150"/>
      <c r="AY352" s="150"/>
      <c r="AZ352" s="150"/>
      <c r="BA352" s="150">
        <f t="shared" si="59"/>
        <v>44502</v>
      </c>
      <c r="BB352" s="150"/>
      <c r="BC352" s="150"/>
      <c r="BD352" s="150"/>
      <c r="BE352" s="150"/>
      <c r="BF352" s="150"/>
      <c r="BG352" s="150"/>
      <c r="BH352" s="150"/>
      <c r="BI352" s="150"/>
      <c r="BJ352" s="150"/>
      <c r="BK352" s="150">
        <f t="shared" si="59"/>
        <v>46302</v>
      </c>
      <c r="BL352" s="150"/>
      <c r="BM352" s="45"/>
      <c r="BN352" s="45"/>
    </row>
    <row r="353" spans="1:66" s="69" customFormat="1" hidden="1" x14ac:dyDescent="0.25">
      <c r="A353" s="48" t="s">
        <v>105</v>
      </c>
      <c r="B353" s="25"/>
      <c r="C353" s="47"/>
      <c r="D353" s="47"/>
      <c r="E353" s="47"/>
      <c r="F353" s="47"/>
      <c r="G353" s="47"/>
      <c r="H353" s="47"/>
      <c r="I353" s="47"/>
      <c r="J353" s="47"/>
      <c r="K353" s="47"/>
      <c r="L353" s="47"/>
      <c r="M353" s="47"/>
      <c r="N353" s="47"/>
      <c r="O353" s="47"/>
      <c r="P353" s="150">
        <f t="shared" ref="P353:BK353" si="60">P334-(7*5)</f>
        <v>43847</v>
      </c>
      <c r="Q353" s="150">
        <f t="shared" si="60"/>
        <v>43855</v>
      </c>
      <c r="R353" s="150">
        <f t="shared" si="60"/>
        <v>43858</v>
      </c>
      <c r="S353" s="150">
        <f t="shared" si="60"/>
        <v>43860</v>
      </c>
      <c r="T353" s="150">
        <f t="shared" si="60"/>
        <v>43863</v>
      </c>
      <c r="U353" s="150">
        <f t="shared" si="60"/>
        <v>43866</v>
      </c>
      <c r="V353" s="150">
        <f t="shared" si="60"/>
        <v>43869</v>
      </c>
      <c r="W353" s="150">
        <f t="shared" si="60"/>
        <v>43871</v>
      </c>
      <c r="X353" s="150">
        <f t="shared" si="60"/>
        <v>43873</v>
      </c>
      <c r="Y353" s="150">
        <f t="shared" si="60"/>
        <v>43875</v>
      </c>
      <c r="Z353" s="150">
        <f t="shared" si="60"/>
        <v>43877</v>
      </c>
      <c r="AA353" s="150">
        <f t="shared" si="60"/>
        <v>43880</v>
      </c>
      <c r="AB353" s="150">
        <f t="shared" si="60"/>
        <v>43883</v>
      </c>
      <c r="AC353" s="150">
        <f t="shared" si="60"/>
        <v>43888</v>
      </c>
      <c r="AD353" s="150">
        <f t="shared" si="60"/>
        <v>43897</v>
      </c>
      <c r="AE353" s="150"/>
      <c r="AF353" s="150"/>
      <c r="AG353" s="150"/>
      <c r="AH353" s="150">
        <f t="shared" si="60"/>
        <v>43913</v>
      </c>
      <c r="AI353" s="150"/>
      <c r="AJ353" s="150"/>
      <c r="AK353" s="150"/>
      <c r="AL353" s="150">
        <f t="shared" si="60"/>
        <v>43956</v>
      </c>
      <c r="AM353" s="150"/>
      <c r="AN353" s="150"/>
      <c r="AO353" s="150"/>
      <c r="AP353" s="150"/>
      <c r="AQ353" s="150">
        <f t="shared" si="60"/>
        <v>44031</v>
      </c>
      <c r="AR353" s="150"/>
      <c r="AS353" s="150"/>
      <c r="AT353" s="150"/>
      <c r="AU353" s="150"/>
      <c r="AV353" s="150">
        <f t="shared" si="60"/>
        <v>44181</v>
      </c>
      <c r="AW353" s="150"/>
      <c r="AX353" s="150"/>
      <c r="AY353" s="150"/>
      <c r="AZ353" s="150"/>
      <c r="BA353" s="150">
        <f t="shared" si="60"/>
        <v>44481</v>
      </c>
      <c r="BB353" s="150"/>
      <c r="BC353" s="150"/>
      <c r="BD353" s="150"/>
      <c r="BE353" s="150"/>
      <c r="BF353" s="150"/>
      <c r="BG353" s="150"/>
      <c r="BH353" s="150"/>
      <c r="BI353" s="150"/>
      <c r="BJ353" s="150"/>
      <c r="BK353" s="150">
        <f t="shared" si="60"/>
        <v>46281</v>
      </c>
      <c r="BL353" s="150"/>
      <c r="BM353" s="45"/>
      <c r="BN353" s="45"/>
    </row>
    <row r="354" spans="1:66" s="69" customFormat="1" hidden="1" x14ac:dyDescent="0.25">
      <c r="A354" s="48" t="s">
        <v>103</v>
      </c>
      <c r="B354" s="25"/>
      <c r="C354" s="47"/>
      <c r="D354" s="47"/>
      <c r="E354" s="47"/>
      <c r="F354" s="47"/>
      <c r="G354" s="47"/>
      <c r="H354" s="47"/>
      <c r="I354" s="47"/>
      <c r="J354" s="47"/>
      <c r="K354" s="47"/>
      <c r="L354" s="47"/>
      <c r="M354" s="47"/>
      <c r="N354" s="47"/>
      <c r="O354" s="47"/>
      <c r="P354" s="150">
        <f t="shared" ref="P354:BK354" si="61">P334-(6*7)</f>
        <v>43840</v>
      </c>
      <c r="Q354" s="150">
        <f t="shared" si="61"/>
        <v>43848</v>
      </c>
      <c r="R354" s="150">
        <f t="shared" si="61"/>
        <v>43851</v>
      </c>
      <c r="S354" s="150">
        <f t="shared" si="61"/>
        <v>43853</v>
      </c>
      <c r="T354" s="150">
        <f t="shared" si="61"/>
        <v>43856</v>
      </c>
      <c r="U354" s="150">
        <f t="shared" si="61"/>
        <v>43859</v>
      </c>
      <c r="V354" s="150">
        <f t="shared" si="61"/>
        <v>43862</v>
      </c>
      <c r="W354" s="150">
        <f t="shared" si="61"/>
        <v>43864</v>
      </c>
      <c r="X354" s="150">
        <f t="shared" si="61"/>
        <v>43866</v>
      </c>
      <c r="Y354" s="150">
        <f t="shared" si="61"/>
        <v>43868</v>
      </c>
      <c r="Z354" s="150">
        <f t="shared" si="61"/>
        <v>43870</v>
      </c>
      <c r="AA354" s="150">
        <f t="shared" si="61"/>
        <v>43873</v>
      </c>
      <c r="AB354" s="150">
        <f t="shared" si="61"/>
        <v>43876</v>
      </c>
      <c r="AC354" s="150">
        <f t="shared" si="61"/>
        <v>43881</v>
      </c>
      <c r="AD354" s="150">
        <f t="shared" si="61"/>
        <v>43890</v>
      </c>
      <c r="AE354" s="150"/>
      <c r="AF354" s="150"/>
      <c r="AG354" s="150"/>
      <c r="AH354" s="150">
        <f t="shared" si="61"/>
        <v>43906</v>
      </c>
      <c r="AI354" s="150"/>
      <c r="AJ354" s="150"/>
      <c r="AK354" s="150"/>
      <c r="AL354" s="150">
        <f t="shared" si="61"/>
        <v>43949</v>
      </c>
      <c r="AM354" s="150"/>
      <c r="AN354" s="150"/>
      <c r="AO354" s="150"/>
      <c r="AP354" s="150"/>
      <c r="AQ354" s="150">
        <f t="shared" si="61"/>
        <v>44024</v>
      </c>
      <c r="AR354" s="150"/>
      <c r="AS354" s="150"/>
      <c r="AT354" s="150"/>
      <c r="AU354" s="150"/>
      <c r="AV354" s="150">
        <f t="shared" si="61"/>
        <v>44174</v>
      </c>
      <c r="AW354" s="150"/>
      <c r="AX354" s="150"/>
      <c r="AY354" s="150"/>
      <c r="AZ354" s="150"/>
      <c r="BA354" s="150">
        <f t="shared" si="61"/>
        <v>44474</v>
      </c>
      <c r="BB354" s="150"/>
      <c r="BC354" s="150"/>
      <c r="BD354" s="150"/>
      <c r="BE354" s="150"/>
      <c r="BF354" s="150"/>
      <c r="BG354" s="150"/>
      <c r="BH354" s="150"/>
      <c r="BI354" s="150"/>
      <c r="BJ354" s="150"/>
      <c r="BK354" s="150">
        <f t="shared" si="61"/>
        <v>46274</v>
      </c>
      <c r="BL354" s="150"/>
      <c r="BM354" s="45"/>
      <c r="BN354" s="45"/>
    </row>
    <row r="356" spans="1:66" x14ac:dyDescent="0.25">
      <c r="A356" s="53" t="s">
        <v>48</v>
      </c>
      <c r="B356" s="15"/>
      <c r="C356" s="16"/>
      <c r="D356" s="16"/>
      <c r="E356" s="16"/>
      <c r="F356" s="16"/>
      <c r="G356" s="16"/>
      <c r="H356" s="16"/>
      <c r="I356" s="16"/>
      <c r="J356" s="16"/>
      <c r="K356" s="16"/>
      <c r="L356" s="16"/>
      <c r="M356" s="16"/>
      <c r="N356" s="16"/>
      <c r="O356" s="16"/>
    </row>
    <row r="357" spans="1:66" s="69" customFormat="1" x14ac:dyDescent="0.25">
      <c r="A357" s="143" t="s">
        <v>101</v>
      </c>
      <c r="B357" s="25"/>
      <c r="C357" s="47"/>
      <c r="D357" s="47"/>
      <c r="E357" s="47"/>
      <c r="F357" s="47"/>
      <c r="G357" s="47"/>
      <c r="H357" s="47"/>
      <c r="I357" s="47"/>
      <c r="J357" s="47"/>
      <c r="K357" s="47"/>
      <c r="L357" s="47"/>
      <c r="M357" s="47"/>
      <c r="N357" s="47"/>
      <c r="O357" s="47"/>
      <c r="P357" s="141">
        <f t="shared" ref="P357:BL357" si="62">(P334-$B$331)/7</f>
        <v>4.4285714285714288</v>
      </c>
      <c r="Q357" s="141">
        <f t="shared" si="62"/>
        <v>5.5714285714285712</v>
      </c>
      <c r="R357" s="145">
        <f t="shared" si="62"/>
        <v>6</v>
      </c>
      <c r="S357" s="145">
        <f t="shared" si="62"/>
        <v>6.2857142857142856</v>
      </c>
      <c r="T357" s="141">
        <f t="shared" si="62"/>
        <v>6.7142857142857144</v>
      </c>
      <c r="U357" s="145">
        <f t="shared" si="62"/>
        <v>7.1428571428571432</v>
      </c>
      <c r="V357" s="141">
        <f t="shared" si="62"/>
        <v>7.5714285714285712</v>
      </c>
      <c r="W357" s="145">
        <f t="shared" si="62"/>
        <v>7.8571428571428568</v>
      </c>
      <c r="X357" s="145">
        <f t="shared" si="62"/>
        <v>8.1428571428571423</v>
      </c>
      <c r="Y357" s="142">
        <f t="shared" si="62"/>
        <v>8.4285714285714288</v>
      </c>
      <c r="Z357" s="145">
        <f t="shared" si="62"/>
        <v>8.7142857142857135</v>
      </c>
      <c r="AA357" s="145">
        <f t="shared" si="62"/>
        <v>9.1428571428571423</v>
      </c>
      <c r="AB357" s="141">
        <f t="shared" si="62"/>
        <v>9.5714285714285712</v>
      </c>
      <c r="AC357" s="142">
        <f t="shared" si="62"/>
        <v>10.285714285714286</v>
      </c>
      <c r="AD357" s="142">
        <f t="shared" si="62"/>
        <v>11.571428571428571</v>
      </c>
      <c r="AE357" s="144">
        <f t="shared" ref="AE357:AG357" si="63">(AE334-$B$331)/7</f>
        <v>12.142857142857142</v>
      </c>
      <c r="AF357" s="144">
        <f t="shared" si="63"/>
        <v>12.714285714285714</v>
      </c>
      <c r="AG357" s="144">
        <f t="shared" si="63"/>
        <v>13.285714285714286</v>
      </c>
      <c r="AH357" s="144">
        <f t="shared" si="62"/>
        <v>13.857142857142858</v>
      </c>
      <c r="AI357" s="144">
        <f t="shared" ref="AI357:AK357" si="64">(AI334-$B$331)/7</f>
        <v>15.392857142857142</v>
      </c>
      <c r="AJ357" s="144">
        <f t="shared" si="64"/>
        <v>16.928571428571427</v>
      </c>
      <c r="AK357" s="144">
        <f t="shared" si="64"/>
        <v>18.58714285714294</v>
      </c>
      <c r="AL357" s="144">
        <f t="shared" si="62"/>
        <v>20</v>
      </c>
      <c r="AM357" s="142">
        <f t="shared" ref="AM357:AP357" si="65">(AM334-$B$331)/7</f>
        <v>22.142857142857142</v>
      </c>
      <c r="AN357" s="142">
        <f t="shared" si="65"/>
        <v>23.535714285714285</v>
      </c>
      <c r="AO357" s="142">
        <f t="shared" si="65"/>
        <v>26.428571428571427</v>
      </c>
      <c r="AP357" s="142">
        <f t="shared" si="65"/>
        <v>28.571428571428573</v>
      </c>
      <c r="AQ357" s="142">
        <f t="shared" si="62"/>
        <v>30.714285714285715</v>
      </c>
      <c r="AR357" s="144">
        <f t="shared" ref="AR357:AU357" si="66">(AR334-$B$331)/7</f>
        <v>35</v>
      </c>
      <c r="AS357" s="144">
        <f t="shared" si="66"/>
        <v>39.285714285714285</v>
      </c>
      <c r="AT357" s="144">
        <f t="shared" si="66"/>
        <v>43.571428571428569</v>
      </c>
      <c r="AU357" s="144">
        <f t="shared" si="66"/>
        <v>47.857142857142854</v>
      </c>
      <c r="AV357" s="144">
        <f t="shared" si="62"/>
        <v>52.142857142857146</v>
      </c>
      <c r="AW357" s="141">
        <f t="shared" ref="AW357:AZ357" si="67">(AW334-$B$331)/7</f>
        <v>60.714285714285715</v>
      </c>
      <c r="AX357" s="141">
        <f t="shared" si="67"/>
        <v>69.285714285714292</v>
      </c>
      <c r="AY357" s="141">
        <f t="shared" si="67"/>
        <v>77.857142857142861</v>
      </c>
      <c r="AZ357" s="141">
        <f t="shared" si="67"/>
        <v>86.428571428571431</v>
      </c>
      <c r="BA357" s="141">
        <f t="shared" si="62"/>
        <v>95</v>
      </c>
      <c r="BB357" s="141">
        <f t="shared" ref="BB357:BE357" si="68">(BB334-$B$331)/7</f>
        <v>103.57142857142857</v>
      </c>
      <c r="BC357" s="141">
        <f t="shared" si="68"/>
        <v>112.14285714285714</v>
      </c>
      <c r="BD357" s="141">
        <f t="shared" si="68"/>
        <v>120.71428571428571</v>
      </c>
      <c r="BE357" s="141">
        <f t="shared" si="68"/>
        <v>129.28571428571428</v>
      </c>
      <c r="BF357" s="141">
        <f t="shared" ref="BF357" si="69">(BF334-$B$331)/7</f>
        <v>137.85714285714286</v>
      </c>
      <c r="BG357" s="141">
        <f>(BG334-$B$331)/7</f>
        <v>180.71428571428572</v>
      </c>
      <c r="BH357" s="141">
        <f>(BH334-$B$331)/7</f>
        <v>223.57142857142858</v>
      </c>
      <c r="BI357" s="141">
        <f>(BI334-$B$331)/7</f>
        <v>266.42857142857144</v>
      </c>
      <c r="BJ357" s="141">
        <f>(BJ334-$B$331)/7</f>
        <v>309.28571428571428</v>
      </c>
      <c r="BK357" s="144">
        <f t="shared" si="62"/>
        <v>352.14285714285717</v>
      </c>
      <c r="BL357" s="144">
        <f t="shared" si="62"/>
        <v>360.14285714285717</v>
      </c>
    </row>
    <row r="358" spans="1:66" s="69" customFormat="1" x14ac:dyDescent="0.25">
      <c r="A358" s="143" t="s">
        <v>100</v>
      </c>
      <c r="B358" s="25"/>
      <c r="C358" s="47"/>
      <c r="D358" s="47"/>
      <c r="E358" s="47"/>
      <c r="F358" s="47"/>
      <c r="G358" s="47"/>
      <c r="H358" s="47"/>
      <c r="I358" s="47"/>
      <c r="J358" s="47"/>
      <c r="K358" s="47"/>
      <c r="L358" s="47"/>
      <c r="M358" s="47"/>
      <c r="N358" s="47"/>
      <c r="O358" s="47"/>
      <c r="P358" s="258">
        <f>P334-$B$331</f>
        <v>31</v>
      </c>
      <c r="Q358" s="230">
        <f t="shared" ref="Q358:U358" si="70">Q334-$B$331</f>
        <v>39</v>
      </c>
      <c r="R358" s="230">
        <f t="shared" si="70"/>
        <v>42</v>
      </c>
      <c r="S358" s="230">
        <f t="shared" si="70"/>
        <v>44</v>
      </c>
      <c r="T358" s="230">
        <f t="shared" si="70"/>
        <v>47</v>
      </c>
      <c r="U358" s="230">
        <f t="shared" si="70"/>
        <v>50</v>
      </c>
      <c r="V358" s="230">
        <f t="shared" ref="V358:AD358" si="71">V334-$B$331</f>
        <v>53</v>
      </c>
      <c r="W358" s="230">
        <f t="shared" si="71"/>
        <v>55</v>
      </c>
      <c r="X358" s="230">
        <f t="shared" si="71"/>
        <v>57</v>
      </c>
      <c r="Y358" s="230">
        <f t="shared" si="71"/>
        <v>59</v>
      </c>
      <c r="Z358" s="230">
        <f t="shared" si="71"/>
        <v>61</v>
      </c>
      <c r="AA358" s="230">
        <f t="shared" si="71"/>
        <v>64</v>
      </c>
      <c r="AB358" s="230">
        <f t="shared" si="71"/>
        <v>67</v>
      </c>
      <c r="AC358" s="230">
        <f t="shared" si="71"/>
        <v>72</v>
      </c>
      <c r="AD358" s="230">
        <f t="shared" si="71"/>
        <v>81</v>
      </c>
      <c r="AE358" s="230">
        <f t="shared" ref="AE358:AG358" si="72">AE334-$B$331</f>
        <v>85</v>
      </c>
      <c r="AF358" s="230">
        <f t="shared" si="72"/>
        <v>89</v>
      </c>
      <c r="AG358" s="230">
        <f t="shared" si="72"/>
        <v>93</v>
      </c>
      <c r="AH358" s="230">
        <f>AH334-$B$331</f>
        <v>97</v>
      </c>
      <c r="AI358" s="230">
        <f t="shared" ref="AI358:AK358" si="73">AI334-$B$331</f>
        <v>107.75</v>
      </c>
      <c r="AJ358" s="230">
        <f t="shared" si="73"/>
        <v>118.5</v>
      </c>
      <c r="AK358" s="230">
        <f t="shared" si="73"/>
        <v>130.11000000000058</v>
      </c>
      <c r="AL358" s="230">
        <f>AL334-$B$331</f>
        <v>140</v>
      </c>
      <c r="AM358" s="230">
        <f t="shared" ref="AM358:AP358" si="74">AM334-$B$331</f>
        <v>155</v>
      </c>
      <c r="AN358" s="230">
        <f t="shared" si="74"/>
        <v>164.75</v>
      </c>
      <c r="AO358" s="230">
        <f t="shared" si="74"/>
        <v>185</v>
      </c>
      <c r="AP358" s="230">
        <f t="shared" si="74"/>
        <v>200</v>
      </c>
      <c r="AQ358" s="230">
        <f>AQ334-$B$331</f>
        <v>215</v>
      </c>
      <c r="AR358" s="230">
        <f t="shared" ref="AR358:AU358" si="75">AR334-$B$331</f>
        <v>245</v>
      </c>
      <c r="AS358" s="230">
        <f t="shared" si="75"/>
        <v>275</v>
      </c>
      <c r="AT358" s="230">
        <f t="shared" si="75"/>
        <v>305</v>
      </c>
      <c r="AU358" s="230">
        <f t="shared" si="75"/>
        <v>335</v>
      </c>
      <c r="AV358" s="230">
        <f>AV334-$B$331</f>
        <v>365</v>
      </c>
      <c r="AW358" s="231">
        <f t="shared" ref="AW358:AZ358" si="76">AW334-$B$331</f>
        <v>425</v>
      </c>
      <c r="AX358" s="231">
        <f t="shared" si="76"/>
        <v>485</v>
      </c>
      <c r="AY358" s="231">
        <f t="shared" si="76"/>
        <v>545</v>
      </c>
      <c r="AZ358" s="231">
        <f t="shared" si="76"/>
        <v>605</v>
      </c>
      <c r="BA358" s="231">
        <f>BA334-$B$331</f>
        <v>665</v>
      </c>
      <c r="BB358" s="231">
        <f t="shared" ref="BB358:BE358" si="77">BB334-$B$331</f>
        <v>725</v>
      </c>
      <c r="BC358" s="231">
        <f t="shared" si="77"/>
        <v>785</v>
      </c>
      <c r="BD358" s="231">
        <f t="shared" si="77"/>
        <v>845</v>
      </c>
      <c r="BE358" s="231">
        <f t="shared" si="77"/>
        <v>905</v>
      </c>
      <c r="BF358" s="231">
        <f t="shared" ref="BF358" si="78">BF334-$B$331</f>
        <v>965</v>
      </c>
      <c r="BG358" s="188">
        <f t="shared" ref="BG358:BL358" si="79">BG334-$B$331</f>
        <v>1265</v>
      </c>
      <c r="BH358" s="188">
        <f t="shared" si="79"/>
        <v>1565</v>
      </c>
      <c r="BI358" s="188">
        <f t="shared" si="79"/>
        <v>1865</v>
      </c>
      <c r="BJ358" s="188">
        <f t="shared" si="79"/>
        <v>2165</v>
      </c>
      <c r="BK358" s="188">
        <f t="shared" si="79"/>
        <v>2465</v>
      </c>
      <c r="BL358" s="188">
        <f t="shared" si="79"/>
        <v>2521</v>
      </c>
    </row>
    <row r="359" spans="1:66" x14ac:dyDescent="0.25">
      <c r="A359" s="41" t="s">
        <v>42</v>
      </c>
      <c r="B359" s="16"/>
      <c r="C359" s="16"/>
      <c r="D359" s="16"/>
      <c r="E359" s="16"/>
      <c r="F359" s="16"/>
      <c r="G359" s="16"/>
      <c r="H359" s="16"/>
      <c r="I359" s="16"/>
      <c r="J359" s="16"/>
      <c r="K359" s="16"/>
      <c r="L359" s="16"/>
      <c r="M359" s="16"/>
      <c r="N359" s="16"/>
      <c r="O359" s="16"/>
      <c r="P359" s="146">
        <v>35</v>
      </c>
      <c r="Q359" s="147">
        <v>68</v>
      </c>
      <c r="R359" s="148">
        <v>124</v>
      </c>
      <c r="S359" s="148">
        <v>221</v>
      </c>
      <c r="T359" s="148">
        <v>541</v>
      </c>
      <c r="U359" s="148">
        <v>1301</v>
      </c>
      <c r="V359" s="148">
        <v>2771</v>
      </c>
      <c r="W359" s="148">
        <v>4604</v>
      </c>
      <c r="X359" s="148">
        <v>9317</v>
      </c>
      <c r="Y359" s="148">
        <v>19551</v>
      </c>
      <c r="Z359" s="148">
        <v>33840</v>
      </c>
      <c r="AA359" s="148">
        <v>68905</v>
      </c>
      <c r="AB359" s="148">
        <v>124788</v>
      </c>
      <c r="AC359" s="148">
        <v>250708</v>
      </c>
      <c r="AD359" s="148">
        <v>539942</v>
      </c>
      <c r="AE359" s="148">
        <v>652474</v>
      </c>
      <c r="AF359" s="148">
        <v>770014</v>
      </c>
      <c r="AG359" s="148">
        <v>886274</v>
      </c>
      <c r="AH359" s="148">
        <v>1010356</v>
      </c>
      <c r="AI359" s="148">
        <v>1292623</v>
      </c>
      <c r="AJ359" s="148">
        <v>1550294</v>
      </c>
      <c r="AK359" s="148">
        <v>1793530</v>
      </c>
      <c r="AL359" s="148">
        <v>2045549</v>
      </c>
      <c r="AM359" s="148">
        <v>2464771</v>
      </c>
      <c r="AN359" s="148">
        <v>2890588</v>
      </c>
      <c r="AO359" s="344">
        <f t="shared" ref="AN359:AZ359" si="80">AO335</f>
        <v>3276800</v>
      </c>
      <c r="AP359" s="344">
        <f t="shared" si="80"/>
        <v>3686400</v>
      </c>
      <c r="AQ359" s="344">
        <f t="shared" si="80"/>
        <v>4096000</v>
      </c>
      <c r="AR359" s="344">
        <f t="shared" si="80"/>
        <v>4915200</v>
      </c>
      <c r="AS359" s="344">
        <f t="shared" si="80"/>
        <v>5734400</v>
      </c>
      <c r="AT359" s="344">
        <f t="shared" si="80"/>
        <v>6553600</v>
      </c>
      <c r="AU359" s="344">
        <f t="shared" si="80"/>
        <v>7372800</v>
      </c>
      <c r="AV359" s="344">
        <f t="shared" si="80"/>
        <v>8192000</v>
      </c>
      <c r="AW359" s="344">
        <f t="shared" si="80"/>
        <v>9830400</v>
      </c>
      <c r="AX359" s="344">
        <f t="shared" si="80"/>
        <v>11468800</v>
      </c>
      <c r="AY359" s="344">
        <f t="shared" si="80"/>
        <v>13107200</v>
      </c>
      <c r="AZ359" s="344">
        <f t="shared" si="80"/>
        <v>14745600</v>
      </c>
      <c r="BA359" s="344">
        <f>BA335</f>
        <v>16384000</v>
      </c>
      <c r="BB359" s="344">
        <f t="shared" ref="BB359:BE359" si="81">BB335</f>
        <v>19660800</v>
      </c>
      <c r="BC359" s="344">
        <f t="shared" si="81"/>
        <v>22937600</v>
      </c>
      <c r="BD359" s="344">
        <f t="shared" si="81"/>
        <v>26214400</v>
      </c>
      <c r="BE359" s="344">
        <f t="shared" si="81"/>
        <v>29491200</v>
      </c>
      <c r="BF359" s="344">
        <f t="shared" ref="BF359" si="82">BF335</f>
        <v>32768000</v>
      </c>
      <c r="BG359" s="184">
        <f t="shared" ref="BG359" si="83">BF359*2</f>
        <v>65536000</v>
      </c>
      <c r="BH359" s="184">
        <f t="shared" ref="BH359" si="84">BG359*2</f>
        <v>131072000</v>
      </c>
      <c r="BI359" s="184">
        <f t="shared" ref="BI359" si="85">BH359*2</f>
        <v>262144000</v>
      </c>
      <c r="BJ359" s="184">
        <f t="shared" ref="BJ359" si="86">BI359*2</f>
        <v>524288000</v>
      </c>
      <c r="BK359" s="184">
        <f>BK335</f>
        <v>330565500</v>
      </c>
      <c r="BL359" s="185">
        <f>BK335</f>
        <v>330565500</v>
      </c>
    </row>
    <row r="360" spans="1:66" x14ac:dyDescent="0.25">
      <c r="A360" s="41" t="s">
        <v>154</v>
      </c>
      <c r="B360" s="16"/>
      <c r="C360" s="16"/>
      <c r="D360" s="16"/>
      <c r="E360" s="16"/>
      <c r="F360" s="16"/>
      <c r="G360" s="16"/>
      <c r="H360" s="16"/>
      <c r="I360" s="16"/>
      <c r="J360" s="16"/>
      <c r="K360" s="16"/>
      <c r="L360" s="16"/>
      <c r="M360" s="16"/>
      <c r="N360" s="16"/>
      <c r="O360" s="16"/>
      <c r="P360" s="191">
        <f>(P334-B331)/(LOG(P359/1)/LOG(2))</f>
        <v>6.0437296787073755</v>
      </c>
      <c r="Q360" s="174">
        <f>(Q334-$P$334)/(LOG(Q359/$P$359)/LOG(2))</f>
        <v>8.3491634837954933</v>
      </c>
      <c r="R360" s="174">
        <f t="shared" ref="R360:BL360" si="87">(R334-$P$334)/(LOG(R359/$P$359)/LOG(2))</f>
        <v>6.0276836381926202</v>
      </c>
      <c r="S360" s="174">
        <f t="shared" si="87"/>
        <v>4.8897556767514709</v>
      </c>
      <c r="T360" s="174">
        <f t="shared" si="87"/>
        <v>4.0504260147273037</v>
      </c>
      <c r="U360" s="174">
        <f t="shared" si="87"/>
        <v>3.6425526786068976</v>
      </c>
      <c r="V360" s="174">
        <f t="shared" si="87"/>
        <v>3.4882386226134869</v>
      </c>
      <c r="W360" s="174">
        <f t="shared" si="87"/>
        <v>3.4093867599891814</v>
      </c>
      <c r="X360" s="174">
        <f t="shared" si="87"/>
        <v>3.2272612172752644</v>
      </c>
      <c r="Y360" s="174">
        <f t="shared" si="87"/>
        <v>3.0682672712732586</v>
      </c>
      <c r="Z360" s="174">
        <f t="shared" si="87"/>
        <v>3.0250599197351313</v>
      </c>
      <c r="AA360" s="174">
        <f t="shared" si="87"/>
        <v>3.0156159459256791</v>
      </c>
      <c r="AB360" s="174">
        <f t="shared" si="87"/>
        <v>3.0508896880563214</v>
      </c>
      <c r="AC360" s="174">
        <f t="shared" si="87"/>
        <v>3.201532865133665</v>
      </c>
      <c r="AD360" s="174">
        <f t="shared" si="87"/>
        <v>3.5937194117521298</v>
      </c>
      <c r="AE360" s="174">
        <f t="shared" si="87"/>
        <v>3.8064952970597021</v>
      </c>
      <c r="AF360" s="174">
        <f t="shared" si="87"/>
        <v>4.020729736229403</v>
      </c>
      <c r="AG360" s="174">
        <f t="shared" si="87"/>
        <v>4.2384148703141689</v>
      </c>
      <c r="AH360" s="174">
        <f t="shared" ref="AH360:AK360" si="88">(AH334-$P$334)/(LOG(AH359/$P$359)/LOG(2))</f>
        <v>4.4542981107309165</v>
      </c>
      <c r="AI360" s="174">
        <f t="shared" si="88"/>
        <v>5.0584649404191362</v>
      </c>
      <c r="AJ360" s="174">
        <f t="shared" si="88"/>
        <v>5.6689976374219366</v>
      </c>
      <c r="AK360" s="174">
        <f t="shared" si="88"/>
        <v>6.3348958864178382</v>
      </c>
      <c r="AL360" s="174">
        <f t="shared" si="87"/>
        <v>6.8835843452041185</v>
      </c>
      <c r="AM360" s="174">
        <f t="shared" ref="AM360:BA360" si="89">(AM334-$P$334)/(LOG(AM359/$P$359)/LOG(2))</f>
        <v>7.7000750400616136</v>
      </c>
      <c r="AN360" s="174">
        <f t="shared" si="89"/>
        <v>8.188617480107041</v>
      </c>
      <c r="AO360" s="345">
        <f t="shared" si="89"/>
        <v>9.3250971967816376</v>
      </c>
      <c r="AP360" s="345">
        <f t="shared" si="89"/>
        <v>10.12916290527709</v>
      </c>
      <c r="AQ360" s="345">
        <f t="shared" si="89"/>
        <v>10.928636364183804</v>
      </c>
      <c r="AR360" s="345">
        <f t="shared" si="89"/>
        <v>12.51495970916972</v>
      </c>
      <c r="AS360" s="345">
        <f t="shared" si="89"/>
        <v>14.086191713959233</v>
      </c>
      <c r="AT360" s="345">
        <f t="shared" si="89"/>
        <v>15.644115177471431</v>
      </c>
      <c r="AU360" s="345">
        <f t="shared" si="89"/>
        <v>17.19019657805547</v>
      </c>
      <c r="AV360" s="345">
        <f t="shared" si="89"/>
        <v>18.725645516843471</v>
      </c>
      <c r="AW360" s="345">
        <f t="shared" si="89"/>
        <v>21.768514237398769</v>
      </c>
      <c r="AX360" s="345">
        <f t="shared" si="89"/>
        <v>24.779051508595668</v>
      </c>
      <c r="AY360" s="345">
        <f t="shared" si="89"/>
        <v>27.761914638912547</v>
      </c>
      <c r="AZ360" s="345">
        <f t="shared" si="89"/>
        <v>30.720653808641153</v>
      </c>
      <c r="BA360" s="345">
        <f t="shared" si="89"/>
        <v>33.658055229533467</v>
      </c>
      <c r="BB360" s="345">
        <f t="shared" ref="BB360:BE360" si="90">(BB334-$P$334)/(LOG(BB359/$P$359)/LOG(2))</f>
        <v>36.335961871630886</v>
      </c>
      <c r="BC360" s="345">
        <f t="shared" si="90"/>
        <v>39.023020699446171</v>
      </c>
      <c r="BD360" s="345">
        <f t="shared" si="90"/>
        <v>41.71241629477894</v>
      </c>
      <c r="BE360" s="345">
        <f t="shared" si="90"/>
        <v>44.400420689531764</v>
      </c>
      <c r="BF360" s="345">
        <f t="shared" ref="BF360" si="91">(BF334-$P$334)/(LOG(BF359/$P$359)/LOG(2))</f>
        <v>47.08491620546193</v>
      </c>
      <c r="BG360" s="186">
        <f t="shared" ref="BG360" si="92">(BG334-$P$334)/(LOG(BG359/$P$359)/LOG(2))</f>
        <v>59.222994501091634</v>
      </c>
      <c r="BH360" s="186">
        <f t="shared" ref="BH360" si="93">(BH334-$P$334)/(LOG(BH359/$P$359)/LOG(2))</f>
        <v>70.249349068930343</v>
      </c>
      <c r="BI360" s="186">
        <f t="shared" ref="BI360" si="94">(BI334-$P$334)/(LOG(BI359/$P$359)/LOG(2))</f>
        <v>80.310025537608894</v>
      </c>
      <c r="BJ360" s="186">
        <f t="shared" ref="BJ360" si="95">(BJ334-$P$334)/(LOG(BJ359/$P$359)/LOG(2))</f>
        <v>89.526561638900219</v>
      </c>
      <c r="BK360" s="186">
        <f t="shared" si="87"/>
        <v>105.0447462967275</v>
      </c>
      <c r="BL360" s="187">
        <f t="shared" si="87"/>
        <v>107.46155229205073</v>
      </c>
    </row>
    <row r="361" spans="1:66" x14ac:dyDescent="0.25">
      <c r="A361" s="41" t="s">
        <v>190</v>
      </c>
      <c r="B361" s="16"/>
      <c r="C361" s="16"/>
      <c r="D361" s="16"/>
      <c r="E361" s="16"/>
      <c r="F361" s="16"/>
      <c r="G361" s="16"/>
      <c r="H361" s="16"/>
      <c r="I361" s="16"/>
      <c r="J361" s="16"/>
      <c r="K361" s="16"/>
      <c r="L361" s="16"/>
      <c r="M361" s="16"/>
      <c r="N361" s="16"/>
      <c r="O361" s="16"/>
      <c r="P361" s="257">
        <v>14</v>
      </c>
      <c r="Q361" s="254">
        <v>51</v>
      </c>
      <c r="R361" s="254">
        <v>70</v>
      </c>
      <c r="S361" s="254">
        <v>102</v>
      </c>
      <c r="T361" s="254">
        <v>246</v>
      </c>
      <c r="U361" s="254">
        <v>608</v>
      </c>
      <c r="V361" s="254">
        <v>1390</v>
      </c>
      <c r="W361" s="254">
        <v>2355</v>
      </c>
      <c r="X361" s="254">
        <v>4207</v>
      </c>
      <c r="Y361" s="254">
        <v>8341</v>
      </c>
      <c r="Z361" s="254">
        <v>15608</v>
      </c>
      <c r="AA361" s="254">
        <v>36304</v>
      </c>
      <c r="AB361" s="254">
        <v>71401</v>
      </c>
      <c r="AC361" s="254">
        <v>161932</v>
      </c>
      <c r="AD361" s="254">
        <v>400623</v>
      </c>
      <c r="AE361" s="254">
        <v>505584</v>
      </c>
      <c r="AF361" s="254">
        <v>593640</v>
      </c>
      <c r="AG361" s="254">
        <v>680047</v>
      </c>
      <c r="AH361" s="254">
        <v>763531</v>
      </c>
      <c r="AI361" s="254">
        <v>998445</v>
      </c>
      <c r="AJ361" s="254">
        <v>1101930</v>
      </c>
      <c r="AK361" s="254">
        <v>1169419</v>
      </c>
      <c r="AL361" s="254">
        <v>1142539</v>
      </c>
      <c r="AM361" s="254">
        <v>1273355</v>
      </c>
      <c r="AN361" s="254">
        <v>1522999</v>
      </c>
      <c r="AO361" s="346"/>
      <c r="AP361" s="346"/>
      <c r="AQ361" s="346"/>
      <c r="AR361" s="346"/>
      <c r="AS361" s="346"/>
      <c r="AT361" s="346"/>
      <c r="AU361" s="346"/>
      <c r="AV361" s="346"/>
      <c r="AW361" s="346"/>
      <c r="AX361" s="346"/>
      <c r="AY361" s="346"/>
      <c r="AZ361" s="346"/>
      <c r="BA361" s="346"/>
      <c r="BB361" s="346"/>
      <c r="BC361" s="346"/>
      <c r="BD361" s="346"/>
      <c r="BE361" s="346"/>
      <c r="BF361" s="346"/>
      <c r="BG361" s="186"/>
      <c r="BH361" s="186"/>
      <c r="BI361" s="186"/>
      <c r="BJ361" s="186"/>
      <c r="BK361" s="186"/>
      <c r="BL361" s="187"/>
    </row>
    <row r="362" spans="1:66" x14ac:dyDescent="0.25">
      <c r="A362" s="41" t="s">
        <v>63</v>
      </c>
      <c r="B362" s="16"/>
      <c r="C362" s="16"/>
      <c r="D362" s="16"/>
      <c r="E362" s="16"/>
      <c r="F362" s="16"/>
      <c r="G362" s="16"/>
      <c r="H362" s="16"/>
      <c r="I362" s="16"/>
      <c r="J362" s="16"/>
      <c r="K362" s="16"/>
      <c r="L362" s="16"/>
      <c r="M362" s="16"/>
      <c r="N362" s="16"/>
      <c r="O362" s="16"/>
      <c r="P362" s="229">
        <f>P359-P363-P361</f>
        <v>21</v>
      </c>
      <c r="Q362" s="149">
        <f t="shared" ref="Q362:AE362" si="96">Q359-Q363-Q361</f>
        <v>16</v>
      </c>
      <c r="R362" s="149">
        <f t="shared" si="96"/>
        <v>45</v>
      </c>
      <c r="S362" s="149">
        <f t="shared" si="96"/>
        <v>107</v>
      </c>
      <c r="T362" s="149">
        <f t="shared" si="96"/>
        <v>273</v>
      </c>
      <c r="U362" s="149">
        <f t="shared" si="96"/>
        <v>655</v>
      </c>
      <c r="V362" s="149">
        <f t="shared" si="96"/>
        <v>1323</v>
      </c>
      <c r="W362" s="149">
        <f t="shared" si="96"/>
        <v>2154</v>
      </c>
      <c r="X362" s="149">
        <f t="shared" si="96"/>
        <v>4939</v>
      </c>
      <c r="Y362" s="149">
        <f t="shared" si="96"/>
        <v>10901</v>
      </c>
      <c r="Z362" s="149">
        <f t="shared" si="96"/>
        <v>17723</v>
      </c>
      <c r="AA362" s="149">
        <f t="shared" si="96"/>
        <v>31341</v>
      </c>
      <c r="AB362" s="149">
        <f t="shared" si="96"/>
        <v>50633</v>
      </c>
      <c r="AC362" s="149">
        <f t="shared" si="96"/>
        <v>81200</v>
      </c>
      <c r="AD362" s="149">
        <f t="shared" si="96"/>
        <v>115257</v>
      </c>
      <c r="AE362" s="149">
        <f t="shared" si="96"/>
        <v>114178</v>
      </c>
      <c r="AF362" s="149">
        <f t="shared" ref="AF362:AH362" si="97">AF359-AF363-AF361</f>
        <v>135473</v>
      </c>
      <c r="AG362" s="149">
        <f t="shared" si="97"/>
        <v>155993</v>
      </c>
      <c r="AH362" s="149">
        <f t="shared" si="97"/>
        <v>190030</v>
      </c>
      <c r="AI362" s="149">
        <f t="shared" ref="AI362:AJ362" si="98">AI359-AI363-AI361</f>
        <v>217250</v>
      </c>
      <c r="AJ362" s="149">
        <f t="shared" si="98"/>
        <v>356383</v>
      </c>
      <c r="AK362" s="149">
        <f t="shared" ref="AK362:AL362" si="99">AK359-AK363-AK361</f>
        <v>519569</v>
      </c>
      <c r="AL362" s="149">
        <f t="shared" si="99"/>
        <v>788862</v>
      </c>
      <c r="AM362" s="149">
        <f t="shared" ref="AM362:AN362" si="100">AM359-AM363-AM361</f>
        <v>1064537</v>
      </c>
      <c r="AN362" s="149">
        <f t="shared" si="100"/>
        <v>1235488</v>
      </c>
      <c r="AO362" s="347"/>
      <c r="AP362" s="347"/>
      <c r="AQ362" s="347"/>
      <c r="AR362" s="347"/>
      <c r="AS362" s="347"/>
      <c r="AT362" s="347"/>
      <c r="AU362" s="347"/>
      <c r="AV362" s="347"/>
      <c r="AW362" s="347"/>
      <c r="AX362" s="347"/>
      <c r="AY362" s="347"/>
      <c r="AZ362" s="347"/>
      <c r="BA362" s="347"/>
      <c r="BB362" s="347"/>
      <c r="BC362" s="347"/>
      <c r="BD362" s="347"/>
      <c r="BE362" s="347"/>
      <c r="BF362" s="347"/>
      <c r="BG362" s="107"/>
      <c r="BH362" s="107"/>
      <c r="BI362" s="107"/>
      <c r="BJ362" s="107"/>
      <c r="BK362" s="107"/>
      <c r="BL362" s="108"/>
    </row>
    <row r="363" spans="1:66" x14ac:dyDescent="0.25">
      <c r="A363" s="49" t="s">
        <v>43</v>
      </c>
      <c r="B363" s="38"/>
      <c r="C363" s="39"/>
      <c r="D363" s="39"/>
      <c r="E363" s="39"/>
      <c r="F363" s="39"/>
      <c r="G363" s="39"/>
      <c r="H363" s="39"/>
      <c r="I363" s="39"/>
      <c r="J363" s="39"/>
      <c r="K363" s="39"/>
      <c r="L363" s="39"/>
      <c r="M363" s="39"/>
      <c r="N363" s="39"/>
      <c r="O363" s="39"/>
      <c r="P363" s="67">
        <v>0</v>
      </c>
      <c r="Q363" s="68">
        <v>1</v>
      </c>
      <c r="R363" s="52">
        <v>9</v>
      </c>
      <c r="S363" s="52">
        <v>12</v>
      </c>
      <c r="T363" s="52">
        <v>22</v>
      </c>
      <c r="U363" s="52">
        <v>38</v>
      </c>
      <c r="V363" s="52">
        <v>58</v>
      </c>
      <c r="W363" s="52">
        <v>95</v>
      </c>
      <c r="X363" s="52">
        <v>171</v>
      </c>
      <c r="Y363" s="52">
        <v>309</v>
      </c>
      <c r="Z363" s="52">
        <v>509</v>
      </c>
      <c r="AA363" s="52">
        <v>1260</v>
      </c>
      <c r="AB363" s="52">
        <v>2754</v>
      </c>
      <c r="AC363" s="52">
        <v>7576</v>
      </c>
      <c r="AD363" s="52">
        <v>24062</v>
      </c>
      <c r="AE363" s="52">
        <v>32712</v>
      </c>
      <c r="AF363" s="52">
        <v>40901</v>
      </c>
      <c r="AG363" s="52">
        <v>50234</v>
      </c>
      <c r="AH363" s="52">
        <v>56795</v>
      </c>
      <c r="AI363" s="52">
        <v>76928</v>
      </c>
      <c r="AJ363" s="52">
        <v>91981</v>
      </c>
      <c r="AK363" s="52">
        <v>104542</v>
      </c>
      <c r="AL363" s="52">
        <v>114148</v>
      </c>
      <c r="AM363" s="52">
        <v>126879</v>
      </c>
      <c r="AN363" s="52">
        <v>132101</v>
      </c>
      <c r="AO363" s="348"/>
      <c r="AP363" s="348"/>
      <c r="AQ363" s="348"/>
      <c r="AR363" s="348"/>
      <c r="AS363" s="348"/>
      <c r="AT363" s="348"/>
      <c r="AU363" s="348"/>
      <c r="AV363" s="348"/>
      <c r="AW363" s="348"/>
      <c r="AX363" s="348"/>
      <c r="AY363" s="348"/>
      <c r="AZ363" s="348"/>
      <c r="BA363" s="348"/>
      <c r="BB363" s="348"/>
      <c r="BC363" s="348"/>
      <c r="BD363" s="348"/>
      <c r="BE363" s="348"/>
      <c r="BF363" s="348"/>
      <c r="BG363" s="107"/>
      <c r="BH363" s="107"/>
      <c r="BI363" s="107"/>
      <c r="BJ363" s="107"/>
      <c r="BK363" s="107"/>
      <c r="BL363" s="108"/>
    </row>
    <row r="364" spans="1:66" x14ac:dyDescent="0.25">
      <c r="B364" s="3"/>
      <c r="P364" s="35"/>
      <c r="Q364" s="35"/>
      <c r="R364" s="35"/>
      <c r="S364" s="35"/>
      <c r="T364" s="35"/>
      <c r="U364" s="35"/>
      <c r="V364" s="35"/>
      <c r="W364" s="35"/>
      <c r="X364" s="35"/>
      <c r="Y364" s="35"/>
      <c r="Z364" s="35"/>
      <c r="AA364" s="35"/>
      <c r="AB364" s="35"/>
      <c r="AC364" s="35"/>
      <c r="AD364" s="35"/>
      <c r="AE364" s="35"/>
      <c r="AF364" s="35"/>
      <c r="AG364" s="35"/>
      <c r="AH364" s="35"/>
      <c r="AI364" s="35"/>
      <c r="AJ364" s="35"/>
      <c r="AK364" s="35"/>
      <c r="AL364" s="35"/>
      <c r="AM364" s="35"/>
      <c r="AN364" s="35"/>
      <c r="AO364" s="35"/>
      <c r="AP364" s="35"/>
      <c r="AQ364" s="35"/>
      <c r="AR364" s="35"/>
      <c r="AS364" s="35"/>
      <c r="AT364" s="35"/>
      <c r="AU364" s="35"/>
    </row>
    <row r="365" spans="1:66" x14ac:dyDescent="0.25">
      <c r="A365" s="74" t="s">
        <v>49</v>
      </c>
      <c r="AQ365" s="16"/>
      <c r="AR365" s="16"/>
      <c r="AS365" s="16"/>
      <c r="AT365" s="16"/>
      <c r="AU365" s="16"/>
    </row>
    <row r="366" spans="1:66" x14ac:dyDescent="0.25">
      <c r="A366" s="4" t="s">
        <v>0</v>
      </c>
      <c r="B366" s="190" t="s">
        <v>115</v>
      </c>
      <c r="C366" s="5" t="s">
        <v>3</v>
      </c>
      <c r="D366" s="190" t="s">
        <v>51</v>
      </c>
      <c r="E366" s="58" t="s">
        <v>2</v>
      </c>
      <c r="F366" s="9" t="s">
        <v>3</v>
      </c>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c r="BK366" s="5"/>
      <c r="BL366" s="47"/>
    </row>
    <row r="367" spans="1:66" x14ac:dyDescent="0.25">
      <c r="A367" s="41" t="s">
        <v>12</v>
      </c>
      <c r="B367" s="13">
        <f>'Population by Age - Wikipedia'!D41</f>
        <v>3.6394890344941602E-2</v>
      </c>
      <c r="C367" s="12">
        <f>$B$316*B367</f>
        <v>12030895.124320794</v>
      </c>
      <c r="D367" s="22">
        <f>'AU Infection Rate by Age'!C4</f>
        <v>2.8847876724601325E-2</v>
      </c>
      <c r="E367" s="5"/>
      <c r="F367" s="16"/>
      <c r="G367" s="16"/>
      <c r="H367" s="16"/>
      <c r="I367" s="16"/>
      <c r="J367" s="16"/>
      <c r="K367" s="16"/>
      <c r="L367" s="16"/>
      <c r="M367" s="16"/>
      <c r="N367" s="16"/>
      <c r="O367" s="16"/>
      <c r="P367" s="18">
        <f t="shared" ref="P367:BK367" si="101">P$335*$D$367</f>
        <v>0.90149614764379138</v>
      </c>
      <c r="Q367" s="19">
        <f t="shared" si="101"/>
        <v>1.8029922952875828</v>
      </c>
      <c r="R367" s="19">
        <f t="shared" si="101"/>
        <v>3.6059845905751655</v>
      </c>
      <c r="S367" s="19">
        <f t="shared" si="101"/>
        <v>7.211969181150331</v>
      </c>
      <c r="T367" s="19">
        <f t="shared" si="101"/>
        <v>14.423938362300662</v>
      </c>
      <c r="U367" s="19">
        <f t="shared" si="101"/>
        <v>28.847876724601324</v>
      </c>
      <c r="V367" s="19">
        <f t="shared" si="101"/>
        <v>57.695753449202648</v>
      </c>
      <c r="W367" s="19">
        <f t="shared" si="101"/>
        <v>115.3915068984053</v>
      </c>
      <c r="X367" s="19">
        <f t="shared" si="101"/>
        <v>230.78301379681059</v>
      </c>
      <c r="Y367" s="19">
        <f t="shared" si="101"/>
        <v>461.56602759362119</v>
      </c>
      <c r="Z367" s="19">
        <f t="shared" si="101"/>
        <v>923.13205518724237</v>
      </c>
      <c r="AA367" s="19">
        <f t="shared" si="101"/>
        <v>1846.2641103744847</v>
      </c>
      <c r="AB367" s="19">
        <f t="shared" si="101"/>
        <v>3692.5282207489695</v>
      </c>
      <c r="AC367" s="19">
        <f t="shared" si="101"/>
        <v>7385.056441497939</v>
      </c>
      <c r="AD367" s="19">
        <f t="shared" si="101"/>
        <v>14770.112882995878</v>
      </c>
      <c r="AE367" s="19">
        <f t="shared" si="101"/>
        <v>18462.641103744849</v>
      </c>
      <c r="AF367" s="19">
        <f t="shared" si="101"/>
        <v>22155.169324493818</v>
      </c>
      <c r="AG367" s="19">
        <f t="shared" si="101"/>
        <v>25847.697545242787</v>
      </c>
      <c r="AH367" s="19">
        <f t="shared" si="101"/>
        <v>29540.225765991756</v>
      </c>
      <c r="AI367" s="19">
        <f t="shared" si="101"/>
        <v>37811.488980469447</v>
      </c>
      <c r="AJ367" s="19">
        <f t="shared" si="101"/>
        <v>44310.338648987636</v>
      </c>
      <c r="AK367" s="19">
        <f t="shared" si="101"/>
        <v>51695.395090485574</v>
      </c>
      <c r="AL367" s="19">
        <f t="shared" si="101"/>
        <v>59080.451531983512</v>
      </c>
      <c r="AM367" s="19">
        <f t="shared" si="101"/>
        <v>70896.541838380217</v>
      </c>
      <c r="AN367" s="19">
        <f t="shared" si="101"/>
        <v>82712.632144776915</v>
      </c>
      <c r="AO367" s="19">
        <f t="shared" si="101"/>
        <v>94528.722451173628</v>
      </c>
      <c r="AP367" s="19">
        <f t="shared" si="101"/>
        <v>106344.81275757033</v>
      </c>
      <c r="AQ367" s="19">
        <f t="shared" si="101"/>
        <v>118160.90306396702</v>
      </c>
      <c r="AR367" s="19">
        <f t="shared" si="101"/>
        <v>141793.08367676043</v>
      </c>
      <c r="AS367" s="19">
        <f t="shared" si="101"/>
        <v>165425.26428955383</v>
      </c>
      <c r="AT367" s="19">
        <f t="shared" si="101"/>
        <v>189057.44490234726</v>
      </c>
      <c r="AU367" s="19">
        <f t="shared" si="101"/>
        <v>212689.62551514065</v>
      </c>
      <c r="AV367" s="19">
        <f t="shared" si="101"/>
        <v>236321.80612793405</v>
      </c>
      <c r="AW367" s="19">
        <f t="shared" si="101"/>
        <v>283586.16735352087</v>
      </c>
      <c r="AX367" s="19">
        <f t="shared" si="101"/>
        <v>330850.52857910766</v>
      </c>
      <c r="AY367" s="19">
        <f t="shared" si="101"/>
        <v>378114.88980469451</v>
      </c>
      <c r="AZ367" s="19">
        <f t="shared" si="101"/>
        <v>425379.2510302813</v>
      </c>
      <c r="BA367" s="19">
        <f t="shared" si="101"/>
        <v>472643.61225586809</v>
      </c>
      <c r="BB367" s="19">
        <f t="shared" si="101"/>
        <v>567172.33470704174</v>
      </c>
      <c r="BC367" s="19">
        <f t="shared" si="101"/>
        <v>661701.05715821532</v>
      </c>
      <c r="BD367" s="19">
        <f t="shared" si="101"/>
        <v>756229.77960938902</v>
      </c>
      <c r="BE367" s="19">
        <f t="shared" si="101"/>
        <v>850758.50206056261</v>
      </c>
      <c r="BF367" s="18">
        <f t="shared" si="101"/>
        <v>945287.22451173619</v>
      </c>
      <c r="BG367" s="19">
        <f t="shared" si="101"/>
        <v>1890574.4490234724</v>
      </c>
      <c r="BH367" s="19">
        <f t="shared" si="101"/>
        <v>3781148.8980469448</v>
      </c>
      <c r="BI367" s="19">
        <f t="shared" si="101"/>
        <v>7562297.7960938895</v>
      </c>
      <c r="BJ367" s="19">
        <f t="shared" si="101"/>
        <v>9536112.7934061997</v>
      </c>
      <c r="BK367" s="60">
        <f t="shared" si="101"/>
        <v>9536112.7934061997</v>
      </c>
      <c r="BL367" s="45"/>
    </row>
    <row r="368" spans="1:66" x14ac:dyDescent="0.25">
      <c r="A368" s="41"/>
      <c r="B368" s="6"/>
      <c r="C368" s="10"/>
      <c r="D368" s="8"/>
      <c r="E368" s="27">
        <v>0.14799999999999999</v>
      </c>
      <c r="F368" s="10"/>
      <c r="G368" s="10"/>
      <c r="H368" s="10"/>
      <c r="I368" s="10"/>
      <c r="J368" s="10"/>
      <c r="K368" s="10"/>
      <c r="L368" s="10"/>
      <c r="M368" s="10"/>
      <c r="N368" s="10"/>
      <c r="O368" s="10"/>
      <c r="P368" s="29">
        <f t="shared" ref="P368:BK368" si="102">P$335*$D$367*$E$368</f>
        <v>0.13342142985128111</v>
      </c>
      <c r="Q368" s="30">
        <f t="shared" si="102"/>
        <v>0.26684285970256222</v>
      </c>
      <c r="R368" s="30">
        <f t="shared" si="102"/>
        <v>0.53368571940512444</v>
      </c>
      <c r="S368" s="30">
        <f t="shared" si="102"/>
        <v>1.0673714388102489</v>
      </c>
      <c r="T368" s="30">
        <f t="shared" si="102"/>
        <v>2.1347428776204977</v>
      </c>
      <c r="U368" s="30">
        <f t="shared" si="102"/>
        <v>4.2694857552409955</v>
      </c>
      <c r="V368" s="30">
        <f t="shared" si="102"/>
        <v>8.538971510481991</v>
      </c>
      <c r="W368" s="30">
        <f t="shared" si="102"/>
        <v>17.077943020963982</v>
      </c>
      <c r="X368" s="30">
        <f t="shared" si="102"/>
        <v>34.155886041927964</v>
      </c>
      <c r="Y368" s="30">
        <f t="shared" si="102"/>
        <v>68.311772083855928</v>
      </c>
      <c r="Z368" s="30">
        <f t="shared" si="102"/>
        <v>136.62354416771186</v>
      </c>
      <c r="AA368" s="30">
        <f t="shared" si="102"/>
        <v>273.24708833542371</v>
      </c>
      <c r="AB368" s="30">
        <f t="shared" si="102"/>
        <v>546.49417667084742</v>
      </c>
      <c r="AC368" s="30">
        <f t="shared" si="102"/>
        <v>1092.9883533416948</v>
      </c>
      <c r="AD368" s="30">
        <f t="shared" si="102"/>
        <v>2185.9767066833897</v>
      </c>
      <c r="AE368" s="30">
        <f t="shared" si="102"/>
        <v>2732.4708833542377</v>
      </c>
      <c r="AF368" s="30">
        <f t="shared" si="102"/>
        <v>3278.9650600250848</v>
      </c>
      <c r="AG368" s="30">
        <f t="shared" si="102"/>
        <v>3825.4592366959323</v>
      </c>
      <c r="AH368" s="30">
        <f t="shared" si="102"/>
        <v>4371.9534133667794</v>
      </c>
      <c r="AI368" s="30">
        <f t="shared" si="102"/>
        <v>5596.1003691094775</v>
      </c>
      <c r="AJ368" s="30">
        <f t="shared" si="102"/>
        <v>6557.9301200501695</v>
      </c>
      <c r="AK368" s="30">
        <f t="shared" si="102"/>
        <v>7650.9184733918646</v>
      </c>
      <c r="AL368" s="30">
        <f t="shared" si="102"/>
        <v>8743.9068267335588</v>
      </c>
      <c r="AM368" s="30">
        <f t="shared" si="102"/>
        <v>10492.688192080272</v>
      </c>
      <c r="AN368" s="30">
        <f t="shared" si="102"/>
        <v>12241.469557426983</v>
      </c>
      <c r="AO368" s="30">
        <f t="shared" si="102"/>
        <v>13990.250922773695</v>
      </c>
      <c r="AP368" s="30">
        <f t="shared" si="102"/>
        <v>15739.032288120407</v>
      </c>
      <c r="AQ368" s="30">
        <f t="shared" si="102"/>
        <v>17487.813653467118</v>
      </c>
      <c r="AR368" s="30">
        <f t="shared" si="102"/>
        <v>20985.376384160543</v>
      </c>
      <c r="AS368" s="30">
        <f t="shared" si="102"/>
        <v>24482.939114853965</v>
      </c>
      <c r="AT368" s="30">
        <f t="shared" si="102"/>
        <v>27980.501845547391</v>
      </c>
      <c r="AU368" s="30">
        <f t="shared" si="102"/>
        <v>31478.064576240813</v>
      </c>
      <c r="AV368" s="30">
        <f t="shared" si="102"/>
        <v>34975.627306934235</v>
      </c>
      <c r="AW368" s="30">
        <f t="shared" si="102"/>
        <v>41970.752768321086</v>
      </c>
      <c r="AX368" s="30">
        <f t="shared" si="102"/>
        <v>48965.878229707931</v>
      </c>
      <c r="AY368" s="30">
        <f t="shared" si="102"/>
        <v>55961.003691094782</v>
      </c>
      <c r="AZ368" s="30">
        <f t="shared" si="102"/>
        <v>62956.129152481626</v>
      </c>
      <c r="BA368" s="30">
        <f t="shared" si="102"/>
        <v>69951.25461386847</v>
      </c>
      <c r="BB368" s="30">
        <f t="shared" si="102"/>
        <v>83941.505536642173</v>
      </c>
      <c r="BC368" s="30">
        <f t="shared" si="102"/>
        <v>97931.756459415861</v>
      </c>
      <c r="BD368" s="30">
        <f t="shared" si="102"/>
        <v>111922.00738218956</v>
      </c>
      <c r="BE368" s="30">
        <f t="shared" si="102"/>
        <v>125912.25830496325</v>
      </c>
      <c r="BF368" s="29">
        <f t="shared" si="102"/>
        <v>139902.50922773694</v>
      </c>
      <c r="BG368" s="30">
        <f t="shared" si="102"/>
        <v>279805.01845547388</v>
      </c>
      <c r="BH368" s="30">
        <f t="shared" si="102"/>
        <v>559610.03691094776</v>
      </c>
      <c r="BI368" s="30">
        <f t="shared" si="102"/>
        <v>1119220.0738218955</v>
      </c>
      <c r="BJ368" s="30">
        <f t="shared" si="102"/>
        <v>1411344.6934241175</v>
      </c>
      <c r="BK368" s="71">
        <f t="shared" si="102"/>
        <v>1411344.6934241175</v>
      </c>
      <c r="BL368" s="45"/>
    </row>
    <row r="369" spans="1:64" x14ac:dyDescent="0.25">
      <c r="A369" s="41" t="s">
        <v>13</v>
      </c>
      <c r="B369" s="6">
        <f>'Population by Age - Wikipedia'!D37</f>
        <v>5.3752877231864643E-2</v>
      </c>
      <c r="C369" s="10">
        <f>$B$316*B369</f>
        <v>17768846.73858995</v>
      </c>
      <c r="D369" s="23">
        <f>'AU Infection Rate by Age'!C5</f>
        <v>0.10661171833004837</v>
      </c>
      <c r="E369" s="17"/>
      <c r="F369" s="16"/>
      <c r="G369" s="16"/>
      <c r="H369" s="16"/>
      <c r="I369" s="16"/>
      <c r="J369" s="16"/>
      <c r="K369" s="16"/>
      <c r="L369" s="16"/>
      <c r="M369" s="16"/>
      <c r="N369" s="16"/>
      <c r="O369" s="16"/>
      <c r="P369" s="20">
        <f t="shared" ref="P369:BK369" si="103">P$335*$D$369</f>
        <v>3.3316161978140117</v>
      </c>
      <c r="Q369" s="21">
        <f t="shared" si="103"/>
        <v>6.6632323956280235</v>
      </c>
      <c r="R369" s="21">
        <f t="shared" si="103"/>
        <v>13.326464791256047</v>
      </c>
      <c r="S369" s="21">
        <f t="shared" si="103"/>
        <v>26.652929582512094</v>
      </c>
      <c r="T369" s="21">
        <f t="shared" si="103"/>
        <v>53.305859165024188</v>
      </c>
      <c r="U369" s="21">
        <f t="shared" si="103"/>
        <v>106.61171833004838</v>
      </c>
      <c r="V369" s="21">
        <f t="shared" si="103"/>
        <v>213.22343666009675</v>
      </c>
      <c r="W369" s="21">
        <f t="shared" si="103"/>
        <v>426.4468733201935</v>
      </c>
      <c r="X369" s="21">
        <f t="shared" si="103"/>
        <v>852.89374664038701</v>
      </c>
      <c r="Y369" s="21">
        <f t="shared" si="103"/>
        <v>1705.787493280774</v>
      </c>
      <c r="Z369" s="21">
        <f t="shared" si="103"/>
        <v>3411.574986561548</v>
      </c>
      <c r="AA369" s="21">
        <f t="shared" si="103"/>
        <v>6823.1499731230961</v>
      </c>
      <c r="AB369" s="21">
        <f t="shared" si="103"/>
        <v>13646.299946246192</v>
      </c>
      <c r="AC369" s="21">
        <f t="shared" si="103"/>
        <v>27292.599892492384</v>
      </c>
      <c r="AD369" s="21">
        <f t="shared" si="103"/>
        <v>54585.199784984768</v>
      </c>
      <c r="AE369" s="21">
        <f t="shared" si="103"/>
        <v>68231.499731230957</v>
      </c>
      <c r="AF369" s="21">
        <f t="shared" si="103"/>
        <v>81877.799677477145</v>
      </c>
      <c r="AG369" s="21">
        <f t="shared" si="103"/>
        <v>95524.099623723334</v>
      </c>
      <c r="AH369" s="21">
        <f t="shared" si="103"/>
        <v>109170.39956996954</v>
      </c>
      <c r="AI369" s="21">
        <f t="shared" si="103"/>
        <v>139738.11144956099</v>
      </c>
      <c r="AJ369" s="21">
        <f t="shared" si="103"/>
        <v>163755.59935495429</v>
      </c>
      <c r="AK369" s="21">
        <f t="shared" si="103"/>
        <v>191048.19924744667</v>
      </c>
      <c r="AL369" s="21">
        <f t="shared" si="103"/>
        <v>218340.79913993907</v>
      </c>
      <c r="AM369" s="21">
        <f t="shared" si="103"/>
        <v>262008.95896792688</v>
      </c>
      <c r="AN369" s="21">
        <f t="shared" si="103"/>
        <v>305677.11879591469</v>
      </c>
      <c r="AO369" s="21">
        <f t="shared" si="103"/>
        <v>349345.27862390253</v>
      </c>
      <c r="AP369" s="21">
        <f t="shared" si="103"/>
        <v>393013.43845189031</v>
      </c>
      <c r="AQ369" s="21">
        <f t="shared" si="103"/>
        <v>436681.59827987815</v>
      </c>
      <c r="AR369" s="21">
        <f t="shared" si="103"/>
        <v>524017.91793585377</v>
      </c>
      <c r="AS369" s="21">
        <f t="shared" si="103"/>
        <v>611354.23759182938</v>
      </c>
      <c r="AT369" s="21">
        <f t="shared" si="103"/>
        <v>698690.55724780506</v>
      </c>
      <c r="AU369" s="21">
        <f t="shared" si="103"/>
        <v>786026.87690378062</v>
      </c>
      <c r="AV369" s="21">
        <f t="shared" si="103"/>
        <v>873363.1965597563</v>
      </c>
      <c r="AW369" s="21">
        <f t="shared" si="103"/>
        <v>1048035.8358717075</v>
      </c>
      <c r="AX369" s="21">
        <f t="shared" si="103"/>
        <v>1222708.4751836588</v>
      </c>
      <c r="AY369" s="21">
        <f t="shared" si="103"/>
        <v>1397381.1144956101</v>
      </c>
      <c r="AZ369" s="21">
        <f t="shared" si="103"/>
        <v>1572053.7538075612</v>
      </c>
      <c r="BA369" s="21">
        <f t="shared" si="103"/>
        <v>1746726.3931195126</v>
      </c>
      <c r="BB369" s="21">
        <f t="shared" si="103"/>
        <v>2096071.6717434151</v>
      </c>
      <c r="BC369" s="21">
        <f t="shared" si="103"/>
        <v>2445416.9503673175</v>
      </c>
      <c r="BD369" s="21">
        <f t="shared" si="103"/>
        <v>2794762.2289912202</v>
      </c>
      <c r="BE369" s="21">
        <f t="shared" si="103"/>
        <v>3144107.5076151225</v>
      </c>
      <c r="BF369" s="20">
        <f t="shared" si="103"/>
        <v>3493452.7862390252</v>
      </c>
      <c r="BG369" s="21">
        <f t="shared" si="103"/>
        <v>6986905.5724780504</v>
      </c>
      <c r="BH369" s="21">
        <f t="shared" si="103"/>
        <v>13973811.144956101</v>
      </c>
      <c r="BI369" s="21">
        <f t="shared" si="103"/>
        <v>27947622.289912201</v>
      </c>
      <c r="BJ369" s="21">
        <f t="shared" si="103"/>
        <v>35242155.975631602</v>
      </c>
      <c r="BK369" s="72">
        <f t="shared" si="103"/>
        <v>35242155.975631602</v>
      </c>
      <c r="BL369" s="45"/>
    </row>
    <row r="370" spans="1:64" x14ac:dyDescent="0.25">
      <c r="A370" s="41"/>
      <c r="B370" s="6"/>
      <c r="C370" s="10"/>
      <c r="D370" s="8"/>
      <c r="E370" s="27">
        <v>0.08</v>
      </c>
      <c r="F370" s="10"/>
      <c r="G370" s="10"/>
      <c r="H370" s="10"/>
      <c r="I370" s="10"/>
      <c r="J370" s="10"/>
      <c r="K370" s="10"/>
      <c r="L370" s="10"/>
      <c r="M370" s="10"/>
      <c r="N370" s="10"/>
      <c r="O370" s="10"/>
      <c r="P370" s="29">
        <f t="shared" ref="P370:BK370" si="104">P$335*$D$369*$E$370</f>
        <v>0.26652929582512097</v>
      </c>
      <c r="Q370" s="30">
        <f t="shared" si="104"/>
        <v>0.53305859165024194</v>
      </c>
      <c r="R370" s="30">
        <f t="shared" si="104"/>
        <v>1.0661171833004839</v>
      </c>
      <c r="S370" s="30">
        <f t="shared" si="104"/>
        <v>2.1322343666009678</v>
      </c>
      <c r="T370" s="30">
        <f t="shared" si="104"/>
        <v>4.2644687332019355</v>
      </c>
      <c r="U370" s="30">
        <f t="shared" si="104"/>
        <v>8.5289374664038711</v>
      </c>
      <c r="V370" s="30">
        <f t="shared" si="104"/>
        <v>17.057874932807742</v>
      </c>
      <c r="W370" s="30">
        <f t="shared" si="104"/>
        <v>34.115749865615484</v>
      </c>
      <c r="X370" s="30">
        <f t="shared" si="104"/>
        <v>68.231499731230969</v>
      </c>
      <c r="Y370" s="30">
        <f t="shared" si="104"/>
        <v>136.46299946246194</v>
      </c>
      <c r="Z370" s="30">
        <f t="shared" si="104"/>
        <v>272.92599892492387</v>
      </c>
      <c r="AA370" s="30">
        <f t="shared" si="104"/>
        <v>545.85199784984775</v>
      </c>
      <c r="AB370" s="30">
        <f t="shared" si="104"/>
        <v>1091.7039956996955</v>
      </c>
      <c r="AC370" s="30">
        <f t="shared" si="104"/>
        <v>2183.407991399391</v>
      </c>
      <c r="AD370" s="30">
        <f t="shared" si="104"/>
        <v>4366.815982798782</v>
      </c>
      <c r="AE370" s="30">
        <f t="shared" si="104"/>
        <v>5458.519978498477</v>
      </c>
      <c r="AF370" s="30">
        <f t="shared" si="104"/>
        <v>6550.2239741981721</v>
      </c>
      <c r="AG370" s="30">
        <f t="shared" si="104"/>
        <v>7641.9279698978671</v>
      </c>
      <c r="AH370" s="30">
        <f t="shared" si="104"/>
        <v>8733.631965597564</v>
      </c>
      <c r="AI370" s="30">
        <f t="shared" si="104"/>
        <v>11179.048915964881</v>
      </c>
      <c r="AJ370" s="30">
        <f t="shared" si="104"/>
        <v>13100.447948396344</v>
      </c>
      <c r="AK370" s="30">
        <f t="shared" si="104"/>
        <v>15283.855939795734</v>
      </c>
      <c r="AL370" s="30">
        <f t="shared" si="104"/>
        <v>17467.263931195128</v>
      </c>
      <c r="AM370" s="30">
        <f t="shared" si="104"/>
        <v>20960.716717434152</v>
      </c>
      <c r="AN370" s="30">
        <f t="shared" si="104"/>
        <v>24454.169503673176</v>
      </c>
      <c r="AO370" s="30">
        <f t="shared" si="104"/>
        <v>27947.622289912204</v>
      </c>
      <c r="AP370" s="30">
        <f t="shared" si="104"/>
        <v>31441.075076151224</v>
      </c>
      <c r="AQ370" s="30">
        <f t="shared" si="104"/>
        <v>34934.527862390256</v>
      </c>
      <c r="AR370" s="30">
        <f t="shared" si="104"/>
        <v>41921.433434868304</v>
      </c>
      <c r="AS370" s="30">
        <f t="shared" si="104"/>
        <v>48908.339007346352</v>
      </c>
      <c r="AT370" s="30">
        <f t="shared" si="104"/>
        <v>55895.244579824408</v>
      </c>
      <c r="AU370" s="30">
        <f t="shared" si="104"/>
        <v>62882.150152302449</v>
      </c>
      <c r="AV370" s="30">
        <f t="shared" si="104"/>
        <v>69869.055724780512</v>
      </c>
      <c r="AW370" s="30">
        <f t="shared" si="104"/>
        <v>83842.866869736608</v>
      </c>
      <c r="AX370" s="30">
        <f t="shared" si="104"/>
        <v>97816.678014692705</v>
      </c>
      <c r="AY370" s="30">
        <f t="shared" si="104"/>
        <v>111790.48915964882</v>
      </c>
      <c r="AZ370" s="30">
        <f t="shared" si="104"/>
        <v>125764.3003046049</v>
      </c>
      <c r="BA370" s="30">
        <f t="shared" si="104"/>
        <v>139738.11144956102</v>
      </c>
      <c r="BB370" s="30">
        <f t="shared" si="104"/>
        <v>167685.73373947322</v>
      </c>
      <c r="BC370" s="30">
        <f t="shared" si="104"/>
        <v>195633.35602938541</v>
      </c>
      <c r="BD370" s="30">
        <f t="shared" si="104"/>
        <v>223580.97831929763</v>
      </c>
      <c r="BE370" s="30">
        <f t="shared" si="104"/>
        <v>251528.6006092098</v>
      </c>
      <c r="BF370" s="29">
        <f t="shared" si="104"/>
        <v>279476.22289912205</v>
      </c>
      <c r="BG370" s="30">
        <f t="shared" si="104"/>
        <v>558952.44579824409</v>
      </c>
      <c r="BH370" s="30">
        <f t="shared" si="104"/>
        <v>1117904.8915964882</v>
      </c>
      <c r="BI370" s="30">
        <f t="shared" si="104"/>
        <v>2235809.7831929764</v>
      </c>
      <c r="BJ370" s="30">
        <f t="shared" si="104"/>
        <v>2819372.4780505281</v>
      </c>
      <c r="BK370" s="71">
        <f t="shared" si="104"/>
        <v>2819372.4780505281</v>
      </c>
      <c r="BL370" s="45"/>
    </row>
    <row r="371" spans="1:64" x14ac:dyDescent="0.25">
      <c r="A371" s="41" t="s">
        <v>14</v>
      </c>
      <c r="B371" s="6">
        <f>'Population by Age - Wikipedia'!D33</f>
        <v>9.4748533661399834E-2</v>
      </c>
      <c r="C371" s="10">
        <f>$B$316*B371</f>
        <v>31320596.404047467</v>
      </c>
      <c r="D371" s="23">
        <f>'AU Infection Rate by Age'!C6</f>
        <v>0.16735352087439526</v>
      </c>
      <c r="E371" s="17"/>
      <c r="F371" s="10"/>
      <c r="G371" s="10"/>
      <c r="H371" s="10"/>
      <c r="I371" s="10"/>
      <c r="J371" s="10"/>
      <c r="K371" s="10"/>
      <c r="L371" s="10"/>
      <c r="M371" s="10"/>
      <c r="N371" s="10"/>
      <c r="O371" s="10"/>
      <c r="P371" s="20">
        <f t="shared" ref="P371:BK371" si="105">P$335*$D$371</f>
        <v>5.2297975273248518</v>
      </c>
      <c r="Q371" s="21">
        <f t="shared" si="105"/>
        <v>10.459595054649704</v>
      </c>
      <c r="R371" s="21">
        <f t="shared" si="105"/>
        <v>20.919190109299407</v>
      </c>
      <c r="S371" s="21">
        <f t="shared" si="105"/>
        <v>41.838380218598815</v>
      </c>
      <c r="T371" s="21">
        <f t="shared" si="105"/>
        <v>83.676760437197629</v>
      </c>
      <c r="U371" s="21">
        <f t="shared" si="105"/>
        <v>167.35352087439526</v>
      </c>
      <c r="V371" s="21">
        <f t="shared" si="105"/>
        <v>334.70704174879052</v>
      </c>
      <c r="W371" s="21">
        <f t="shared" si="105"/>
        <v>669.41408349758103</v>
      </c>
      <c r="X371" s="21">
        <f t="shared" si="105"/>
        <v>1338.8281669951621</v>
      </c>
      <c r="Y371" s="21">
        <f t="shared" si="105"/>
        <v>2677.6563339903241</v>
      </c>
      <c r="Z371" s="21">
        <f t="shared" si="105"/>
        <v>5355.3126679806483</v>
      </c>
      <c r="AA371" s="21">
        <f t="shared" si="105"/>
        <v>10710.625335961297</v>
      </c>
      <c r="AB371" s="21">
        <f t="shared" si="105"/>
        <v>21421.250671922593</v>
      </c>
      <c r="AC371" s="21">
        <f t="shared" si="105"/>
        <v>42842.501343845186</v>
      </c>
      <c r="AD371" s="21">
        <f t="shared" si="105"/>
        <v>85685.002687690372</v>
      </c>
      <c r="AE371" s="21">
        <f t="shared" si="105"/>
        <v>107106.25335961297</v>
      </c>
      <c r="AF371" s="21">
        <f t="shared" si="105"/>
        <v>128527.50403153556</v>
      </c>
      <c r="AG371" s="21">
        <f t="shared" si="105"/>
        <v>149948.75470345814</v>
      </c>
      <c r="AH371" s="21">
        <f t="shared" si="105"/>
        <v>171370.00537538074</v>
      </c>
      <c r="AI371" s="21">
        <f t="shared" si="105"/>
        <v>219353.60688048735</v>
      </c>
      <c r="AJ371" s="21">
        <f t="shared" si="105"/>
        <v>257055.00806307112</v>
      </c>
      <c r="AK371" s="21">
        <f t="shared" si="105"/>
        <v>299897.50940691627</v>
      </c>
      <c r="AL371" s="21">
        <f t="shared" si="105"/>
        <v>342740.01075076149</v>
      </c>
      <c r="AM371" s="21">
        <f t="shared" si="105"/>
        <v>411288.01290091377</v>
      </c>
      <c r="AN371" s="21">
        <f t="shared" si="105"/>
        <v>479836.01505106606</v>
      </c>
      <c r="AO371" s="21">
        <f t="shared" si="105"/>
        <v>548384.0172012184</v>
      </c>
      <c r="AP371" s="21">
        <f t="shared" si="105"/>
        <v>616932.01935137063</v>
      </c>
      <c r="AQ371" s="21">
        <f t="shared" si="105"/>
        <v>685480.02150152298</v>
      </c>
      <c r="AR371" s="21">
        <f t="shared" si="105"/>
        <v>822576.02580182755</v>
      </c>
      <c r="AS371" s="21">
        <f t="shared" si="105"/>
        <v>959672.03010213212</v>
      </c>
      <c r="AT371" s="21">
        <f t="shared" si="105"/>
        <v>1096768.0344024368</v>
      </c>
      <c r="AU371" s="21">
        <f t="shared" si="105"/>
        <v>1233864.0387027413</v>
      </c>
      <c r="AV371" s="21">
        <f t="shared" si="105"/>
        <v>1370960.043003046</v>
      </c>
      <c r="AW371" s="21">
        <f t="shared" si="105"/>
        <v>1645152.0516036551</v>
      </c>
      <c r="AX371" s="21">
        <f t="shared" si="105"/>
        <v>1919344.0602042642</v>
      </c>
      <c r="AY371" s="21">
        <f t="shared" si="105"/>
        <v>2193536.0688048736</v>
      </c>
      <c r="AZ371" s="21">
        <f t="shared" si="105"/>
        <v>2467728.0774054825</v>
      </c>
      <c r="BA371" s="21">
        <f t="shared" si="105"/>
        <v>2741920.0860060919</v>
      </c>
      <c r="BB371" s="21">
        <f t="shared" si="105"/>
        <v>3290304.1032073102</v>
      </c>
      <c r="BC371" s="21">
        <f t="shared" si="105"/>
        <v>3838688.1204085285</v>
      </c>
      <c r="BD371" s="21">
        <f t="shared" si="105"/>
        <v>4387072.1376097472</v>
      </c>
      <c r="BE371" s="21">
        <f t="shared" si="105"/>
        <v>4935456.1548109651</v>
      </c>
      <c r="BF371" s="20">
        <f t="shared" si="105"/>
        <v>5483840.1720121838</v>
      </c>
      <c r="BG371" s="21">
        <f t="shared" si="105"/>
        <v>10967680.344024368</v>
      </c>
      <c r="BH371" s="21">
        <f t="shared" si="105"/>
        <v>21935360.688048735</v>
      </c>
      <c r="BI371" s="21">
        <f t="shared" si="105"/>
        <v>43870721.376097471</v>
      </c>
      <c r="BJ371" s="21">
        <f t="shared" si="105"/>
        <v>55321300.304604903</v>
      </c>
      <c r="BK371" s="72">
        <f t="shared" si="105"/>
        <v>55321300.304604903</v>
      </c>
      <c r="BL371" s="45"/>
    </row>
    <row r="372" spans="1:64" x14ac:dyDescent="0.25">
      <c r="A372" s="41"/>
      <c r="B372" s="6"/>
      <c r="C372" s="10"/>
      <c r="D372" s="8"/>
      <c r="E372" s="27">
        <v>3.5999999999999997E-2</v>
      </c>
      <c r="F372" s="10"/>
      <c r="G372" s="10"/>
      <c r="H372" s="10"/>
      <c r="I372" s="10"/>
      <c r="J372" s="10"/>
      <c r="K372" s="10"/>
      <c r="L372" s="10"/>
      <c r="M372" s="10"/>
      <c r="N372" s="10"/>
      <c r="O372" s="10"/>
      <c r="P372" s="29">
        <f t="shared" ref="P372:BK372" si="106">P$335*$D$371*$E$372</f>
        <v>0.18827271098369466</v>
      </c>
      <c r="Q372" s="30">
        <f t="shared" si="106"/>
        <v>0.37654542196738933</v>
      </c>
      <c r="R372" s="30">
        <f t="shared" si="106"/>
        <v>0.75309084393477865</v>
      </c>
      <c r="S372" s="30">
        <f t="shared" si="106"/>
        <v>1.5061816878695573</v>
      </c>
      <c r="T372" s="30">
        <f t="shared" si="106"/>
        <v>3.0123633757391146</v>
      </c>
      <c r="U372" s="30">
        <f t="shared" si="106"/>
        <v>6.0247267514782292</v>
      </c>
      <c r="V372" s="30">
        <f t="shared" si="106"/>
        <v>12.049453502956458</v>
      </c>
      <c r="W372" s="30">
        <f t="shared" si="106"/>
        <v>24.098907005912917</v>
      </c>
      <c r="X372" s="30">
        <f t="shared" si="106"/>
        <v>48.197814011825834</v>
      </c>
      <c r="Y372" s="30">
        <f t="shared" si="106"/>
        <v>96.395628023651668</v>
      </c>
      <c r="Z372" s="30">
        <f t="shared" si="106"/>
        <v>192.79125604730334</v>
      </c>
      <c r="AA372" s="30">
        <f t="shared" si="106"/>
        <v>385.58251209460667</v>
      </c>
      <c r="AB372" s="30">
        <f t="shared" si="106"/>
        <v>771.16502418921334</v>
      </c>
      <c r="AC372" s="30">
        <f t="shared" si="106"/>
        <v>1542.3300483784267</v>
      </c>
      <c r="AD372" s="30">
        <f t="shared" si="106"/>
        <v>3084.6600967568534</v>
      </c>
      <c r="AE372" s="30">
        <f t="shared" si="106"/>
        <v>3855.8251209460664</v>
      </c>
      <c r="AF372" s="30">
        <f t="shared" si="106"/>
        <v>4626.9901451352798</v>
      </c>
      <c r="AG372" s="30">
        <f t="shared" si="106"/>
        <v>5398.1551693244928</v>
      </c>
      <c r="AH372" s="30">
        <f t="shared" si="106"/>
        <v>6169.3201935137067</v>
      </c>
      <c r="AI372" s="30">
        <f t="shared" si="106"/>
        <v>7896.7298476975438</v>
      </c>
      <c r="AJ372" s="30">
        <f t="shared" si="106"/>
        <v>9253.9802902705596</v>
      </c>
      <c r="AK372" s="30">
        <f t="shared" si="106"/>
        <v>10796.310338648986</v>
      </c>
      <c r="AL372" s="30">
        <f t="shared" si="106"/>
        <v>12338.640387027413</v>
      </c>
      <c r="AM372" s="30">
        <f t="shared" si="106"/>
        <v>14806.368464432895</v>
      </c>
      <c r="AN372" s="30">
        <f t="shared" si="106"/>
        <v>17274.096541838378</v>
      </c>
      <c r="AO372" s="30">
        <f t="shared" si="106"/>
        <v>19741.82461924386</v>
      </c>
      <c r="AP372" s="30">
        <f t="shared" si="106"/>
        <v>22209.552696649342</v>
      </c>
      <c r="AQ372" s="30">
        <f t="shared" si="106"/>
        <v>24677.280774054827</v>
      </c>
      <c r="AR372" s="30">
        <f t="shared" si="106"/>
        <v>29612.73692886579</v>
      </c>
      <c r="AS372" s="30">
        <f t="shared" si="106"/>
        <v>34548.193083676757</v>
      </c>
      <c r="AT372" s="30">
        <f t="shared" si="106"/>
        <v>39483.64923848772</v>
      </c>
      <c r="AU372" s="30">
        <f t="shared" si="106"/>
        <v>44419.105393298683</v>
      </c>
      <c r="AV372" s="30">
        <f t="shared" si="106"/>
        <v>49354.561548109654</v>
      </c>
      <c r="AW372" s="30">
        <f t="shared" si="106"/>
        <v>59225.47385773158</v>
      </c>
      <c r="AX372" s="30">
        <f t="shared" si="106"/>
        <v>69096.386167353514</v>
      </c>
      <c r="AY372" s="30">
        <f t="shared" si="106"/>
        <v>78967.29847697544</v>
      </c>
      <c r="AZ372" s="30">
        <f t="shared" si="106"/>
        <v>88838.210786597367</v>
      </c>
      <c r="BA372" s="30">
        <f t="shared" si="106"/>
        <v>98709.123096219308</v>
      </c>
      <c r="BB372" s="30">
        <f t="shared" si="106"/>
        <v>118450.94771546316</v>
      </c>
      <c r="BC372" s="30">
        <f t="shared" si="106"/>
        <v>138192.77233470703</v>
      </c>
      <c r="BD372" s="30">
        <f t="shared" si="106"/>
        <v>157934.59695395088</v>
      </c>
      <c r="BE372" s="30">
        <f t="shared" si="106"/>
        <v>177676.42157319473</v>
      </c>
      <c r="BF372" s="29">
        <f t="shared" si="106"/>
        <v>197418.24619243862</v>
      </c>
      <c r="BG372" s="30">
        <f t="shared" si="106"/>
        <v>394836.49238487723</v>
      </c>
      <c r="BH372" s="30">
        <f t="shared" si="106"/>
        <v>789672.98476975446</v>
      </c>
      <c r="BI372" s="30">
        <f t="shared" si="106"/>
        <v>1579345.9695395089</v>
      </c>
      <c r="BJ372" s="30">
        <f t="shared" si="106"/>
        <v>1991566.8109657764</v>
      </c>
      <c r="BK372" s="71">
        <f t="shared" si="106"/>
        <v>1991566.8109657764</v>
      </c>
      <c r="BL372" s="45"/>
    </row>
    <row r="373" spans="1:64" x14ac:dyDescent="0.25">
      <c r="A373" s="41" t="s">
        <v>15</v>
      </c>
      <c r="B373" s="6">
        <f>'Population by Age - Wikipedia'!D29</f>
        <v>0.13591428809571979</v>
      </c>
      <c r="C373" s="10">
        <f>$B$316*B373</f>
        <v>44928574.60150566</v>
      </c>
      <c r="D373" s="23">
        <f>'AU Infection Rate by Age'!C7</f>
        <v>0.15534850385235621</v>
      </c>
      <c r="E373" s="17"/>
      <c r="F373" s="10"/>
      <c r="G373" s="10"/>
      <c r="H373" s="10"/>
      <c r="I373" s="10"/>
      <c r="J373" s="10"/>
      <c r="K373" s="10"/>
      <c r="L373" s="10"/>
      <c r="M373" s="10"/>
      <c r="N373" s="10"/>
      <c r="O373" s="10"/>
      <c r="P373" s="20">
        <f t="shared" ref="P373:BK373" si="107">P$335*$D$373</f>
        <v>4.8546407453861313</v>
      </c>
      <c r="Q373" s="21">
        <f t="shared" si="107"/>
        <v>9.7092814907722627</v>
      </c>
      <c r="R373" s="21">
        <f t="shared" si="107"/>
        <v>19.418562981544525</v>
      </c>
      <c r="S373" s="21">
        <f t="shared" si="107"/>
        <v>38.837125963089051</v>
      </c>
      <c r="T373" s="21">
        <f t="shared" si="107"/>
        <v>77.674251926178101</v>
      </c>
      <c r="U373" s="21">
        <f t="shared" si="107"/>
        <v>155.3485038523562</v>
      </c>
      <c r="V373" s="21">
        <f t="shared" si="107"/>
        <v>310.69700770471241</v>
      </c>
      <c r="W373" s="21">
        <f t="shared" si="107"/>
        <v>621.39401540942481</v>
      </c>
      <c r="X373" s="21">
        <f t="shared" si="107"/>
        <v>1242.7880308188496</v>
      </c>
      <c r="Y373" s="21">
        <f t="shared" si="107"/>
        <v>2485.5760616376992</v>
      </c>
      <c r="Z373" s="21">
        <f t="shared" si="107"/>
        <v>4971.1521232753985</v>
      </c>
      <c r="AA373" s="21">
        <f t="shared" si="107"/>
        <v>9942.304246550797</v>
      </c>
      <c r="AB373" s="21">
        <f t="shared" si="107"/>
        <v>19884.608493101594</v>
      </c>
      <c r="AC373" s="21">
        <f t="shared" si="107"/>
        <v>39769.216986203188</v>
      </c>
      <c r="AD373" s="21">
        <f t="shared" si="107"/>
        <v>79538.433972406376</v>
      </c>
      <c r="AE373" s="21">
        <f t="shared" si="107"/>
        <v>99423.04246550797</v>
      </c>
      <c r="AF373" s="21">
        <f t="shared" si="107"/>
        <v>119307.65095860958</v>
      </c>
      <c r="AG373" s="21">
        <f t="shared" si="107"/>
        <v>139192.25945171117</v>
      </c>
      <c r="AH373" s="21">
        <f t="shared" si="107"/>
        <v>159076.86794481275</v>
      </c>
      <c r="AI373" s="21">
        <f t="shared" si="107"/>
        <v>203618.39096936033</v>
      </c>
      <c r="AJ373" s="21">
        <f t="shared" si="107"/>
        <v>238615.30191721916</v>
      </c>
      <c r="AK373" s="21">
        <f t="shared" si="107"/>
        <v>278384.51890342234</v>
      </c>
      <c r="AL373" s="21">
        <f t="shared" si="107"/>
        <v>318153.7358896255</v>
      </c>
      <c r="AM373" s="21">
        <f t="shared" si="107"/>
        <v>381784.48306755064</v>
      </c>
      <c r="AN373" s="21">
        <f t="shared" si="107"/>
        <v>445415.23024547572</v>
      </c>
      <c r="AO373" s="21">
        <f t="shared" si="107"/>
        <v>509045.97742340085</v>
      </c>
      <c r="AP373" s="21">
        <f t="shared" si="107"/>
        <v>572676.72460132593</v>
      </c>
      <c r="AQ373" s="21">
        <f t="shared" si="107"/>
        <v>636307.47177925101</v>
      </c>
      <c r="AR373" s="21">
        <f t="shared" si="107"/>
        <v>763568.96613510128</v>
      </c>
      <c r="AS373" s="21">
        <f t="shared" si="107"/>
        <v>890830.46049095143</v>
      </c>
      <c r="AT373" s="21">
        <f t="shared" si="107"/>
        <v>1018091.9548468017</v>
      </c>
      <c r="AU373" s="21">
        <f t="shared" si="107"/>
        <v>1145353.4492026519</v>
      </c>
      <c r="AV373" s="21">
        <f t="shared" si="107"/>
        <v>1272614.943558502</v>
      </c>
      <c r="AW373" s="21">
        <f t="shared" si="107"/>
        <v>1527137.9322702026</v>
      </c>
      <c r="AX373" s="21">
        <f t="shared" si="107"/>
        <v>1781660.9209819029</v>
      </c>
      <c r="AY373" s="21">
        <f t="shared" si="107"/>
        <v>2036183.9096936034</v>
      </c>
      <c r="AZ373" s="21">
        <f t="shared" si="107"/>
        <v>2290706.8984053037</v>
      </c>
      <c r="BA373" s="21">
        <f t="shared" si="107"/>
        <v>2545229.887117004</v>
      </c>
      <c r="BB373" s="21">
        <f t="shared" si="107"/>
        <v>3054275.8645404051</v>
      </c>
      <c r="BC373" s="21">
        <f t="shared" si="107"/>
        <v>3563321.8419638057</v>
      </c>
      <c r="BD373" s="21">
        <f t="shared" si="107"/>
        <v>4072367.8193872068</v>
      </c>
      <c r="BE373" s="21">
        <f t="shared" si="107"/>
        <v>4581413.7968106074</v>
      </c>
      <c r="BF373" s="20">
        <f t="shared" si="107"/>
        <v>5090459.774234008</v>
      </c>
      <c r="BG373" s="21">
        <f t="shared" si="107"/>
        <v>10180919.548468016</v>
      </c>
      <c r="BH373" s="21">
        <f t="shared" si="107"/>
        <v>20361839.096936032</v>
      </c>
      <c r="BI373" s="21">
        <f t="shared" si="107"/>
        <v>40723678.193872064</v>
      </c>
      <c r="BJ373" s="21">
        <f t="shared" si="107"/>
        <v>51352855.850206055</v>
      </c>
      <c r="BK373" s="72">
        <f t="shared" si="107"/>
        <v>51352855.850206055</v>
      </c>
      <c r="BL373" s="45"/>
    </row>
    <row r="374" spans="1:64" x14ac:dyDescent="0.25">
      <c r="A374" s="41"/>
      <c r="B374" s="6"/>
      <c r="C374" s="10"/>
      <c r="D374" s="8"/>
      <c r="E374" s="27">
        <v>1.2999999999999999E-2</v>
      </c>
      <c r="F374" s="10"/>
      <c r="G374" s="10"/>
      <c r="H374" s="10"/>
      <c r="I374" s="10"/>
      <c r="J374" s="10"/>
      <c r="K374" s="10"/>
      <c r="L374" s="10"/>
      <c r="M374" s="10"/>
      <c r="N374" s="10"/>
      <c r="O374" s="10"/>
      <c r="P374" s="29">
        <f t="shared" ref="P374:BK374" si="108">P$335*$D$373*$E$374</f>
        <v>6.3110329690019701E-2</v>
      </c>
      <c r="Q374" s="30">
        <f t="shared" si="108"/>
        <v>0.1262206593800394</v>
      </c>
      <c r="R374" s="30">
        <f t="shared" si="108"/>
        <v>0.2524413187600788</v>
      </c>
      <c r="S374" s="30">
        <f t="shared" si="108"/>
        <v>0.50488263752015761</v>
      </c>
      <c r="T374" s="30">
        <f t="shared" si="108"/>
        <v>1.0097652750403152</v>
      </c>
      <c r="U374" s="30">
        <f t="shared" si="108"/>
        <v>2.0195305500806304</v>
      </c>
      <c r="V374" s="30">
        <f t="shared" si="108"/>
        <v>4.0390611001612609</v>
      </c>
      <c r="W374" s="30">
        <f t="shared" si="108"/>
        <v>8.0781222003225217</v>
      </c>
      <c r="X374" s="30">
        <f t="shared" si="108"/>
        <v>16.156244400645043</v>
      </c>
      <c r="Y374" s="30">
        <f t="shared" si="108"/>
        <v>32.312488801290087</v>
      </c>
      <c r="Z374" s="30">
        <f t="shared" si="108"/>
        <v>64.624977602580174</v>
      </c>
      <c r="AA374" s="30">
        <f t="shared" si="108"/>
        <v>129.24995520516035</v>
      </c>
      <c r="AB374" s="30">
        <f t="shared" si="108"/>
        <v>258.49991041032069</v>
      </c>
      <c r="AC374" s="30">
        <f t="shared" si="108"/>
        <v>516.99982082064139</v>
      </c>
      <c r="AD374" s="30">
        <f t="shared" si="108"/>
        <v>1033.9996416412828</v>
      </c>
      <c r="AE374" s="30">
        <f t="shared" si="108"/>
        <v>1292.4995520516036</v>
      </c>
      <c r="AF374" s="30">
        <f t="shared" si="108"/>
        <v>1550.9994624619244</v>
      </c>
      <c r="AG374" s="30">
        <f t="shared" si="108"/>
        <v>1809.4993728722452</v>
      </c>
      <c r="AH374" s="30">
        <f t="shared" si="108"/>
        <v>2067.9992832825656</v>
      </c>
      <c r="AI374" s="30">
        <f t="shared" si="108"/>
        <v>2647.0390826016842</v>
      </c>
      <c r="AJ374" s="30">
        <f t="shared" si="108"/>
        <v>3101.9989249238488</v>
      </c>
      <c r="AK374" s="30">
        <f t="shared" si="108"/>
        <v>3618.9987457444904</v>
      </c>
      <c r="AL374" s="30">
        <f t="shared" si="108"/>
        <v>4135.9985665651311</v>
      </c>
      <c r="AM374" s="30">
        <f t="shared" si="108"/>
        <v>4963.1982798781582</v>
      </c>
      <c r="AN374" s="30">
        <f t="shared" si="108"/>
        <v>5790.3979931911845</v>
      </c>
      <c r="AO374" s="30">
        <f t="shared" si="108"/>
        <v>6617.5977065042107</v>
      </c>
      <c r="AP374" s="30">
        <f t="shared" si="108"/>
        <v>7444.7974198172369</v>
      </c>
      <c r="AQ374" s="30">
        <f t="shared" si="108"/>
        <v>8271.9971331302622</v>
      </c>
      <c r="AR374" s="30">
        <f t="shared" si="108"/>
        <v>9926.3965597563165</v>
      </c>
      <c r="AS374" s="30">
        <f t="shared" si="108"/>
        <v>11580.795986382369</v>
      </c>
      <c r="AT374" s="30">
        <f t="shared" si="108"/>
        <v>13235.195413008421</v>
      </c>
      <c r="AU374" s="30">
        <f t="shared" si="108"/>
        <v>14889.594839634474</v>
      </c>
      <c r="AV374" s="30">
        <f t="shared" si="108"/>
        <v>16543.994266260524</v>
      </c>
      <c r="AW374" s="30">
        <f t="shared" si="108"/>
        <v>19852.793119512633</v>
      </c>
      <c r="AX374" s="30">
        <f t="shared" si="108"/>
        <v>23161.591972764738</v>
      </c>
      <c r="AY374" s="30">
        <f t="shared" si="108"/>
        <v>26470.390826016843</v>
      </c>
      <c r="AZ374" s="30">
        <f t="shared" si="108"/>
        <v>29779.189679268948</v>
      </c>
      <c r="BA374" s="30">
        <f t="shared" si="108"/>
        <v>33087.988532521049</v>
      </c>
      <c r="BB374" s="30">
        <f t="shared" si="108"/>
        <v>39705.586239025266</v>
      </c>
      <c r="BC374" s="30">
        <f t="shared" si="108"/>
        <v>46323.183945529476</v>
      </c>
      <c r="BD374" s="30">
        <f t="shared" si="108"/>
        <v>52940.781652033686</v>
      </c>
      <c r="BE374" s="30">
        <f t="shared" si="108"/>
        <v>59558.379358537895</v>
      </c>
      <c r="BF374" s="29">
        <f t="shared" si="108"/>
        <v>66175.977065042098</v>
      </c>
      <c r="BG374" s="30">
        <f t="shared" si="108"/>
        <v>132351.9541300842</v>
      </c>
      <c r="BH374" s="30">
        <f t="shared" si="108"/>
        <v>264703.90826016839</v>
      </c>
      <c r="BI374" s="30">
        <f t="shared" si="108"/>
        <v>529407.81652033678</v>
      </c>
      <c r="BJ374" s="30">
        <f t="shared" si="108"/>
        <v>667587.12605267868</v>
      </c>
      <c r="BK374" s="71">
        <f t="shared" si="108"/>
        <v>667587.12605267868</v>
      </c>
      <c r="BL374" s="45"/>
    </row>
    <row r="375" spans="1:64" x14ac:dyDescent="0.25">
      <c r="A375" s="41" t="s">
        <v>16</v>
      </c>
      <c r="B375" s="6">
        <f>'Population by Age - Wikipedia'!D25</f>
        <v>0.14121517441978385</v>
      </c>
      <c r="C375" s="10">
        <f>$B$316*B375</f>
        <v>46680864.739663057</v>
      </c>
      <c r="D375" s="23">
        <f>'AU Infection Rate by Age'!C8</f>
        <v>0.12972585558143701</v>
      </c>
      <c r="E375" s="17"/>
      <c r="F375" s="10"/>
      <c r="G375" s="10"/>
      <c r="H375" s="10"/>
      <c r="I375" s="10"/>
      <c r="J375" s="10"/>
      <c r="K375" s="10"/>
      <c r="L375" s="10"/>
      <c r="M375" s="10"/>
      <c r="N375" s="10"/>
      <c r="O375" s="10"/>
      <c r="P375" s="20">
        <f t="shared" ref="P375:BK375" si="109">P$335*$D$375</f>
        <v>4.0539329869199063</v>
      </c>
      <c r="Q375" s="21">
        <f t="shared" si="109"/>
        <v>8.1078659738398127</v>
      </c>
      <c r="R375" s="21">
        <f t="shared" si="109"/>
        <v>16.215731947679625</v>
      </c>
      <c r="S375" s="21">
        <f t="shared" si="109"/>
        <v>32.431463895359251</v>
      </c>
      <c r="T375" s="21">
        <f t="shared" si="109"/>
        <v>64.862927790718501</v>
      </c>
      <c r="U375" s="21">
        <f t="shared" si="109"/>
        <v>129.725855581437</v>
      </c>
      <c r="V375" s="21">
        <f t="shared" si="109"/>
        <v>259.45171116287401</v>
      </c>
      <c r="W375" s="21">
        <f t="shared" si="109"/>
        <v>518.90342232574801</v>
      </c>
      <c r="X375" s="21">
        <f t="shared" si="109"/>
        <v>1037.806844651496</v>
      </c>
      <c r="Y375" s="21">
        <f t="shared" si="109"/>
        <v>2075.613689302992</v>
      </c>
      <c r="Z375" s="21">
        <f t="shared" si="109"/>
        <v>4151.2273786059841</v>
      </c>
      <c r="AA375" s="21">
        <f t="shared" si="109"/>
        <v>8302.4547572119682</v>
      </c>
      <c r="AB375" s="21">
        <f t="shared" si="109"/>
        <v>16604.909514423936</v>
      </c>
      <c r="AC375" s="21">
        <f t="shared" si="109"/>
        <v>33209.819028847873</v>
      </c>
      <c r="AD375" s="21">
        <f t="shared" si="109"/>
        <v>66419.638057695745</v>
      </c>
      <c r="AE375" s="21">
        <f t="shared" si="109"/>
        <v>83024.547572119685</v>
      </c>
      <c r="AF375" s="21">
        <f t="shared" si="109"/>
        <v>99629.457086543625</v>
      </c>
      <c r="AG375" s="21">
        <f t="shared" si="109"/>
        <v>116234.36660096757</v>
      </c>
      <c r="AH375" s="21">
        <f t="shared" si="109"/>
        <v>132839.27611539149</v>
      </c>
      <c r="AI375" s="21">
        <f t="shared" si="109"/>
        <v>170034.27342770112</v>
      </c>
      <c r="AJ375" s="21">
        <f t="shared" si="109"/>
        <v>199258.91417308725</v>
      </c>
      <c r="AK375" s="21">
        <f t="shared" si="109"/>
        <v>232468.73320193513</v>
      </c>
      <c r="AL375" s="21">
        <f t="shared" si="109"/>
        <v>265678.55223078298</v>
      </c>
      <c r="AM375" s="21">
        <f t="shared" si="109"/>
        <v>318814.2626769396</v>
      </c>
      <c r="AN375" s="21">
        <f t="shared" si="109"/>
        <v>371949.97312309622</v>
      </c>
      <c r="AO375" s="21">
        <f t="shared" si="109"/>
        <v>425085.68356925278</v>
      </c>
      <c r="AP375" s="21">
        <f t="shared" si="109"/>
        <v>478221.3940154094</v>
      </c>
      <c r="AQ375" s="21">
        <f t="shared" si="109"/>
        <v>531357.10446156596</v>
      </c>
      <c r="AR375" s="21">
        <f t="shared" si="109"/>
        <v>637628.5253538792</v>
      </c>
      <c r="AS375" s="21">
        <f t="shared" si="109"/>
        <v>743899.94624619244</v>
      </c>
      <c r="AT375" s="21">
        <f t="shared" si="109"/>
        <v>850171.36713850556</v>
      </c>
      <c r="AU375" s="21">
        <f t="shared" si="109"/>
        <v>956442.7880308188</v>
      </c>
      <c r="AV375" s="21">
        <f t="shared" si="109"/>
        <v>1062714.2089231319</v>
      </c>
      <c r="AW375" s="21">
        <f t="shared" si="109"/>
        <v>1275257.0507077584</v>
      </c>
      <c r="AX375" s="21">
        <f t="shared" si="109"/>
        <v>1487799.8924923849</v>
      </c>
      <c r="AY375" s="21">
        <f t="shared" si="109"/>
        <v>1700342.7342770111</v>
      </c>
      <c r="AZ375" s="21">
        <f t="shared" si="109"/>
        <v>1912885.5760616376</v>
      </c>
      <c r="BA375" s="21">
        <f t="shared" si="109"/>
        <v>2125428.4178462639</v>
      </c>
      <c r="BB375" s="21">
        <f t="shared" si="109"/>
        <v>2550514.1014155168</v>
      </c>
      <c r="BC375" s="21">
        <f t="shared" si="109"/>
        <v>2975599.7849847698</v>
      </c>
      <c r="BD375" s="21">
        <f t="shared" si="109"/>
        <v>3400685.4685540223</v>
      </c>
      <c r="BE375" s="21">
        <f t="shared" si="109"/>
        <v>3825771.1521232752</v>
      </c>
      <c r="BF375" s="20">
        <f t="shared" si="109"/>
        <v>4250856.8356925277</v>
      </c>
      <c r="BG375" s="21">
        <f t="shared" si="109"/>
        <v>8501713.6713850554</v>
      </c>
      <c r="BH375" s="21">
        <f t="shared" si="109"/>
        <v>17003427.342770111</v>
      </c>
      <c r="BI375" s="21">
        <f t="shared" si="109"/>
        <v>34006854.685540222</v>
      </c>
      <c r="BJ375" s="21">
        <f t="shared" si="109"/>
        <v>42882892.313205518</v>
      </c>
      <c r="BK375" s="72">
        <f t="shared" si="109"/>
        <v>42882892.313205518</v>
      </c>
      <c r="BL375" s="45"/>
    </row>
    <row r="376" spans="1:64" x14ac:dyDescent="0.25">
      <c r="A376" s="41"/>
      <c r="B376" s="6"/>
      <c r="C376" s="10"/>
      <c r="D376" s="8"/>
      <c r="E376" s="27">
        <v>4.0000000000000001E-3</v>
      </c>
      <c r="F376" s="10"/>
      <c r="G376" s="10"/>
      <c r="H376" s="10"/>
      <c r="I376" s="10"/>
      <c r="J376" s="10"/>
      <c r="K376" s="10"/>
      <c r="L376" s="10"/>
      <c r="M376" s="10"/>
      <c r="N376" s="10"/>
      <c r="O376" s="10"/>
      <c r="P376" s="29">
        <f t="shared" ref="P376:BK376" si="110">P$335*$D$375*$E$376</f>
        <v>1.6215731947679626E-2</v>
      </c>
      <c r="Q376" s="30">
        <f t="shared" si="110"/>
        <v>3.2431463895359253E-2</v>
      </c>
      <c r="R376" s="30">
        <f t="shared" si="110"/>
        <v>6.4862927790718505E-2</v>
      </c>
      <c r="S376" s="30">
        <f t="shared" si="110"/>
        <v>0.12972585558143701</v>
      </c>
      <c r="T376" s="30">
        <f t="shared" si="110"/>
        <v>0.25945171116287402</v>
      </c>
      <c r="U376" s="30">
        <f t="shared" si="110"/>
        <v>0.51890342232574804</v>
      </c>
      <c r="V376" s="30">
        <f t="shared" si="110"/>
        <v>1.0378068446514961</v>
      </c>
      <c r="W376" s="30">
        <f t="shared" si="110"/>
        <v>2.0756136893029922</v>
      </c>
      <c r="X376" s="30">
        <f t="shared" si="110"/>
        <v>4.1512273786059843</v>
      </c>
      <c r="Y376" s="30">
        <f t="shared" si="110"/>
        <v>8.3024547572119687</v>
      </c>
      <c r="Z376" s="30">
        <f t="shared" si="110"/>
        <v>16.604909514423937</v>
      </c>
      <c r="AA376" s="30">
        <f t="shared" si="110"/>
        <v>33.209819028847875</v>
      </c>
      <c r="AB376" s="30">
        <f t="shared" si="110"/>
        <v>66.419638057695749</v>
      </c>
      <c r="AC376" s="30">
        <f t="shared" si="110"/>
        <v>132.8392761153915</v>
      </c>
      <c r="AD376" s="30">
        <f t="shared" si="110"/>
        <v>265.678552230783</v>
      </c>
      <c r="AE376" s="30">
        <f t="shared" si="110"/>
        <v>332.09819028847875</v>
      </c>
      <c r="AF376" s="30">
        <f t="shared" si="110"/>
        <v>398.5178283461745</v>
      </c>
      <c r="AG376" s="30">
        <f t="shared" si="110"/>
        <v>464.93746640387025</v>
      </c>
      <c r="AH376" s="30">
        <f t="shared" si="110"/>
        <v>531.357104461566</v>
      </c>
      <c r="AI376" s="30">
        <f t="shared" si="110"/>
        <v>680.13709371080449</v>
      </c>
      <c r="AJ376" s="30">
        <f t="shared" si="110"/>
        <v>797.03565669234899</v>
      </c>
      <c r="AK376" s="30">
        <f t="shared" si="110"/>
        <v>929.87493280774049</v>
      </c>
      <c r="AL376" s="30">
        <f t="shared" si="110"/>
        <v>1062.714208923132</v>
      </c>
      <c r="AM376" s="30">
        <f t="shared" si="110"/>
        <v>1275.2570507077585</v>
      </c>
      <c r="AN376" s="30">
        <f t="shared" si="110"/>
        <v>1487.799892492385</v>
      </c>
      <c r="AO376" s="30">
        <f t="shared" si="110"/>
        <v>1700.3427342770112</v>
      </c>
      <c r="AP376" s="30">
        <f t="shared" si="110"/>
        <v>1912.8855760616377</v>
      </c>
      <c r="AQ376" s="30">
        <f t="shared" si="110"/>
        <v>2125.428417846264</v>
      </c>
      <c r="AR376" s="30">
        <f t="shared" si="110"/>
        <v>2550.514101415517</v>
      </c>
      <c r="AS376" s="30">
        <f t="shared" si="110"/>
        <v>2975.5997849847699</v>
      </c>
      <c r="AT376" s="30">
        <f t="shared" si="110"/>
        <v>3400.6854685540225</v>
      </c>
      <c r="AU376" s="30">
        <f t="shared" si="110"/>
        <v>3825.7711521232754</v>
      </c>
      <c r="AV376" s="30">
        <f t="shared" si="110"/>
        <v>4250.856835692528</v>
      </c>
      <c r="AW376" s="30">
        <f t="shared" si="110"/>
        <v>5101.0282028310339</v>
      </c>
      <c r="AX376" s="30">
        <f t="shared" si="110"/>
        <v>5951.1995699695399</v>
      </c>
      <c r="AY376" s="30">
        <f t="shared" si="110"/>
        <v>6801.3709371080449</v>
      </c>
      <c r="AZ376" s="30">
        <f t="shared" si="110"/>
        <v>7651.5423042465509</v>
      </c>
      <c r="BA376" s="30">
        <f t="shared" si="110"/>
        <v>8501.7136713850559</v>
      </c>
      <c r="BB376" s="30">
        <f t="shared" si="110"/>
        <v>10202.056405662068</v>
      </c>
      <c r="BC376" s="30">
        <f t="shared" si="110"/>
        <v>11902.39913993908</v>
      </c>
      <c r="BD376" s="30">
        <f t="shared" si="110"/>
        <v>13602.74187421609</v>
      </c>
      <c r="BE376" s="30">
        <f t="shared" si="110"/>
        <v>15303.084608493102</v>
      </c>
      <c r="BF376" s="29">
        <f t="shared" si="110"/>
        <v>17003.427342770112</v>
      </c>
      <c r="BG376" s="30">
        <f t="shared" si="110"/>
        <v>34006.854685540224</v>
      </c>
      <c r="BH376" s="30">
        <f t="shared" si="110"/>
        <v>68013.709371080447</v>
      </c>
      <c r="BI376" s="30">
        <f t="shared" si="110"/>
        <v>136027.41874216089</v>
      </c>
      <c r="BJ376" s="30">
        <f t="shared" si="110"/>
        <v>171531.56925282208</v>
      </c>
      <c r="BK376" s="71">
        <f t="shared" si="110"/>
        <v>171531.56925282208</v>
      </c>
      <c r="BL376" s="45"/>
    </row>
    <row r="377" spans="1:64" x14ac:dyDescent="0.25">
      <c r="A377" s="41" t="s">
        <v>17</v>
      </c>
      <c r="B377" s="6">
        <f>'Population by Age - Wikipedia'!D21</f>
        <v>0.13001561499489589</v>
      </c>
      <c r="C377" s="10">
        <f>$B$316*B377</f>
        <v>42978676.778595254</v>
      </c>
      <c r="D377" s="23">
        <f>'AU Infection Rate by Age'!C9</f>
        <v>0.15731947679627306</v>
      </c>
      <c r="E377" s="17"/>
      <c r="F377" s="10"/>
      <c r="G377" s="14"/>
      <c r="H377" s="14"/>
      <c r="I377" s="14"/>
      <c r="J377" s="14"/>
      <c r="K377" s="14"/>
      <c r="L377" s="14"/>
      <c r="M377" s="14"/>
      <c r="N377" s="10"/>
      <c r="O377" s="10"/>
      <c r="P377" s="20">
        <f t="shared" ref="P377:BK377" si="111">P$335*$D$377</f>
        <v>4.9162336498835328</v>
      </c>
      <c r="Q377" s="21">
        <f t="shared" si="111"/>
        <v>9.8324672997670657</v>
      </c>
      <c r="R377" s="21">
        <f t="shared" si="111"/>
        <v>19.664934599534131</v>
      </c>
      <c r="S377" s="21">
        <f t="shared" si="111"/>
        <v>39.329869199068263</v>
      </c>
      <c r="T377" s="21">
        <f t="shared" si="111"/>
        <v>78.659738398136525</v>
      </c>
      <c r="U377" s="21">
        <f t="shared" si="111"/>
        <v>157.31947679627305</v>
      </c>
      <c r="V377" s="21">
        <f t="shared" si="111"/>
        <v>314.6389535925461</v>
      </c>
      <c r="W377" s="21">
        <f t="shared" si="111"/>
        <v>629.2779071850922</v>
      </c>
      <c r="X377" s="21">
        <f t="shared" si="111"/>
        <v>1258.5558143701844</v>
      </c>
      <c r="Y377" s="21">
        <f t="shared" si="111"/>
        <v>2517.1116287403688</v>
      </c>
      <c r="Z377" s="21">
        <f t="shared" si="111"/>
        <v>5034.2232574807376</v>
      </c>
      <c r="AA377" s="21">
        <f t="shared" si="111"/>
        <v>10068.446514961475</v>
      </c>
      <c r="AB377" s="21">
        <f t="shared" si="111"/>
        <v>20136.893029922951</v>
      </c>
      <c r="AC377" s="21">
        <f t="shared" si="111"/>
        <v>40273.786059845901</v>
      </c>
      <c r="AD377" s="21">
        <f t="shared" si="111"/>
        <v>80547.572119691802</v>
      </c>
      <c r="AE377" s="21">
        <f t="shared" si="111"/>
        <v>100684.46514961476</v>
      </c>
      <c r="AF377" s="21">
        <f t="shared" si="111"/>
        <v>120821.35817953771</v>
      </c>
      <c r="AG377" s="21">
        <f t="shared" si="111"/>
        <v>140958.25120946066</v>
      </c>
      <c r="AH377" s="21">
        <f t="shared" si="111"/>
        <v>161095.1442393836</v>
      </c>
      <c r="AI377" s="21">
        <f t="shared" si="111"/>
        <v>206201.78462641104</v>
      </c>
      <c r="AJ377" s="21">
        <f t="shared" si="111"/>
        <v>241642.71635907542</v>
      </c>
      <c r="AK377" s="21">
        <f t="shared" si="111"/>
        <v>281916.50241892133</v>
      </c>
      <c r="AL377" s="21">
        <f t="shared" si="111"/>
        <v>322190.28847876721</v>
      </c>
      <c r="AM377" s="21">
        <f t="shared" si="111"/>
        <v>386628.34617452067</v>
      </c>
      <c r="AN377" s="21">
        <f t="shared" si="111"/>
        <v>451066.40387027414</v>
      </c>
      <c r="AO377" s="21">
        <f t="shared" si="111"/>
        <v>515504.46156602754</v>
      </c>
      <c r="AP377" s="21">
        <f t="shared" si="111"/>
        <v>579942.51926178101</v>
      </c>
      <c r="AQ377" s="21">
        <f t="shared" si="111"/>
        <v>644380.57695753442</v>
      </c>
      <c r="AR377" s="21">
        <f t="shared" si="111"/>
        <v>773256.69234904135</v>
      </c>
      <c r="AS377" s="21">
        <f t="shared" si="111"/>
        <v>902132.80774054828</v>
      </c>
      <c r="AT377" s="21">
        <f t="shared" si="111"/>
        <v>1031008.9231320551</v>
      </c>
      <c r="AU377" s="21">
        <f t="shared" si="111"/>
        <v>1159885.038523562</v>
      </c>
      <c r="AV377" s="21">
        <f t="shared" si="111"/>
        <v>1288761.1539150688</v>
      </c>
      <c r="AW377" s="21">
        <f t="shared" si="111"/>
        <v>1546513.3846980827</v>
      </c>
      <c r="AX377" s="21">
        <f t="shared" si="111"/>
        <v>1804265.6154810966</v>
      </c>
      <c r="AY377" s="21">
        <f t="shared" si="111"/>
        <v>2062017.8462641102</v>
      </c>
      <c r="AZ377" s="21">
        <f t="shared" si="111"/>
        <v>2319770.077047124</v>
      </c>
      <c r="BA377" s="21">
        <f t="shared" si="111"/>
        <v>2577522.3078301377</v>
      </c>
      <c r="BB377" s="21">
        <f t="shared" si="111"/>
        <v>3093026.7693961654</v>
      </c>
      <c r="BC377" s="21">
        <f t="shared" si="111"/>
        <v>3608531.2309621931</v>
      </c>
      <c r="BD377" s="21">
        <f t="shared" si="111"/>
        <v>4124035.6925282204</v>
      </c>
      <c r="BE377" s="21">
        <f t="shared" si="111"/>
        <v>4639540.1540942481</v>
      </c>
      <c r="BF377" s="20">
        <f t="shared" si="111"/>
        <v>5155044.6156602753</v>
      </c>
      <c r="BG377" s="21">
        <f t="shared" si="111"/>
        <v>10310089.231320551</v>
      </c>
      <c r="BH377" s="21">
        <f t="shared" si="111"/>
        <v>20620178.462641101</v>
      </c>
      <c r="BI377" s="21">
        <f t="shared" si="111"/>
        <v>41240356.925282203</v>
      </c>
      <c r="BJ377" s="21">
        <f t="shared" si="111"/>
        <v>52004391.506898403</v>
      </c>
      <c r="BK377" s="72">
        <f t="shared" si="111"/>
        <v>52004391.506898403</v>
      </c>
      <c r="BL377" s="45"/>
    </row>
    <row r="378" spans="1:64" x14ac:dyDescent="0.25">
      <c r="A378" s="41"/>
      <c r="B378" s="6"/>
      <c r="C378" s="10"/>
      <c r="D378" s="8"/>
      <c r="E378" s="27">
        <v>2E-3</v>
      </c>
      <c r="F378" s="10"/>
      <c r="G378" s="10"/>
      <c r="H378" s="10"/>
      <c r="I378" s="10"/>
      <c r="J378" s="10"/>
      <c r="K378" s="10"/>
      <c r="L378" s="10"/>
      <c r="M378" s="10"/>
      <c r="N378" s="10"/>
      <c r="O378" s="10"/>
      <c r="P378" s="29">
        <f t="shared" ref="P378:BK378" si="112">P$335*$D$377*$E$378</f>
        <v>9.8324672997670663E-3</v>
      </c>
      <c r="Q378" s="30">
        <f t="shared" si="112"/>
        <v>1.9664934599534133E-2</v>
      </c>
      <c r="R378" s="30">
        <f t="shared" si="112"/>
        <v>3.9329869199068265E-2</v>
      </c>
      <c r="S378" s="30">
        <f t="shared" si="112"/>
        <v>7.8659738398136531E-2</v>
      </c>
      <c r="T378" s="30">
        <f t="shared" si="112"/>
        <v>0.15731947679627306</v>
      </c>
      <c r="U378" s="30">
        <f t="shared" si="112"/>
        <v>0.31463895359254612</v>
      </c>
      <c r="V378" s="30">
        <f t="shared" si="112"/>
        <v>0.62927790718509224</v>
      </c>
      <c r="W378" s="30">
        <f t="shared" si="112"/>
        <v>1.2585558143701845</v>
      </c>
      <c r="X378" s="30">
        <f t="shared" si="112"/>
        <v>2.517111628740369</v>
      </c>
      <c r="Y378" s="30">
        <f t="shared" si="112"/>
        <v>5.034223257480738</v>
      </c>
      <c r="Z378" s="30">
        <f t="shared" si="112"/>
        <v>10.068446514961476</v>
      </c>
      <c r="AA378" s="30">
        <f t="shared" si="112"/>
        <v>20.136893029922952</v>
      </c>
      <c r="AB378" s="30">
        <f t="shared" si="112"/>
        <v>40.273786059845904</v>
      </c>
      <c r="AC378" s="30">
        <f t="shared" si="112"/>
        <v>80.547572119691807</v>
      </c>
      <c r="AD378" s="30">
        <f t="shared" si="112"/>
        <v>161.09514423938361</v>
      </c>
      <c r="AE378" s="30">
        <f t="shared" si="112"/>
        <v>201.3689302992295</v>
      </c>
      <c r="AF378" s="30">
        <f t="shared" si="112"/>
        <v>241.64271635907542</v>
      </c>
      <c r="AG378" s="30">
        <f t="shared" si="112"/>
        <v>281.91650241892131</v>
      </c>
      <c r="AH378" s="30">
        <f t="shared" si="112"/>
        <v>322.19028847876723</v>
      </c>
      <c r="AI378" s="30">
        <f t="shared" si="112"/>
        <v>412.40356925282208</v>
      </c>
      <c r="AJ378" s="30">
        <f t="shared" si="112"/>
        <v>483.28543271815084</v>
      </c>
      <c r="AK378" s="30">
        <f t="shared" si="112"/>
        <v>563.83300483784262</v>
      </c>
      <c r="AL378" s="30">
        <f t="shared" si="112"/>
        <v>644.38057695753446</v>
      </c>
      <c r="AM378" s="30">
        <f t="shared" si="112"/>
        <v>773.25669234904137</v>
      </c>
      <c r="AN378" s="30">
        <f t="shared" si="112"/>
        <v>902.13280774054829</v>
      </c>
      <c r="AO378" s="30">
        <f t="shared" si="112"/>
        <v>1031.0089231320551</v>
      </c>
      <c r="AP378" s="30">
        <f t="shared" si="112"/>
        <v>1159.8850385235621</v>
      </c>
      <c r="AQ378" s="30">
        <f t="shared" si="112"/>
        <v>1288.7611539150689</v>
      </c>
      <c r="AR378" s="30">
        <f t="shared" si="112"/>
        <v>1546.5133846980827</v>
      </c>
      <c r="AS378" s="30">
        <f t="shared" si="112"/>
        <v>1804.2656154810966</v>
      </c>
      <c r="AT378" s="30">
        <f t="shared" si="112"/>
        <v>2062.0178462641102</v>
      </c>
      <c r="AU378" s="30">
        <f t="shared" si="112"/>
        <v>2319.7700770471242</v>
      </c>
      <c r="AV378" s="30">
        <f t="shared" si="112"/>
        <v>2577.5223078301378</v>
      </c>
      <c r="AW378" s="30">
        <f t="shared" si="112"/>
        <v>3093.0267693961655</v>
      </c>
      <c r="AX378" s="30">
        <f t="shared" si="112"/>
        <v>3608.5312309621931</v>
      </c>
      <c r="AY378" s="30">
        <f t="shared" si="112"/>
        <v>4124.0356925282204</v>
      </c>
      <c r="AZ378" s="30">
        <f t="shared" si="112"/>
        <v>4639.5401540942485</v>
      </c>
      <c r="BA378" s="30">
        <f t="shared" si="112"/>
        <v>5155.0446156602757</v>
      </c>
      <c r="BB378" s="30">
        <f t="shared" si="112"/>
        <v>6186.053538792331</v>
      </c>
      <c r="BC378" s="30">
        <f t="shared" si="112"/>
        <v>7217.0624619243863</v>
      </c>
      <c r="BD378" s="30">
        <f t="shared" si="112"/>
        <v>8248.0713850564407</v>
      </c>
      <c r="BE378" s="30">
        <f t="shared" si="112"/>
        <v>9279.0803081884969</v>
      </c>
      <c r="BF378" s="29">
        <f t="shared" si="112"/>
        <v>10310.089231320551</v>
      </c>
      <c r="BG378" s="30">
        <f t="shared" si="112"/>
        <v>20620.178462641103</v>
      </c>
      <c r="BH378" s="30">
        <f t="shared" si="112"/>
        <v>41240.356925282205</v>
      </c>
      <c r="BI378" s="30">
        <f t="shared" si="112"/>
        <v>82480.713850564411</v>
      </c>
      <c r="BJ378" s="30">
        <f t="shared" si="112"/>
        <v>104008.78301379681</v>
      </c>
      <c r="BK378" s="71">
        <f t="shared" si="112"/>
        <v>104008.78301379681</v>
      </c>
      <c r="BL378" s="45"/>
    </row>
    <row r="379" spans="1:64" x14ac:dyDescent="0.25">
      <c r="A379" s="41" t="s">
        <v>18</v>
      </c>
      <c r="B379" s="6">
        <f>'Population by Age - Wikipedia'!D17</f>
        <v>0.13826223457843137</v>
      </c>
      <c r="C379" s="10">
        <f>$B$316*B379</f>
        <v>45704724.704536453</v>
      </c>
      <c r="D379" s="23">
        <f>'AU Infection Rate by Age'!C10</f>
        <v>0.2160903063967031</v>
      </c>
      <c r="E379" s="17"/>
      <c r="F379" s="10"/>
      <c r="G379" s="10"/>
      <c r="H379" s="10"/>
      <c r="I379" s="10"/>
      <c r="J379" s="10"/>
      <c r="K379" s="10"/>
      <c r="L379" s="10"/>
      <c r="M379" s="10"/>
      <c r="N379" s="10"/>
      <c r="O379" s="10"/>
      <c r="P379" s="20">
        <f t="shared" ref="P379:BK379" si="113">P$335*$D$379</f>
        <v>6.7528220748969714</v>
      </c>
      <c r="Q379" s="21">
        <f t="shared" si="113"/>
        <v>13.505644149793943</v>
      </c>
      <c r="R379" s="21">
        <f t="shared" si="113"/>
        <v>27.011288299587886</v>
      </c>
      <c r="S379" s="21">
        <f t="shared" si="113"/>
        <v>54.022576599175771</v>
      </c>
      <c r="T379" s="21">
        <f t="shared" si="113"/>
        <v>108.04515319835154</v>
      </c>
      <c r="U379" s="21">
        <f t="shared" si="113"/>
        <v>216.09030639670308</v>
      </c>
      <c r="V379" s="21">
        <f t="shared" si="113"/>
        <v>432.18061279340617</v>
      </c>
      <c r="W379" s="21">
        <f t="shared" si="113"/>
        <v>864.36122558681234</v>
      </c>
      <c r="X379" s="21">
        <f t="shared" si="113"/>
        <v>1728.7224511736247</v>
      </c>
      <c r="Y379" s="21">
        <f t="shared" si="113"/>
        <v>3457.4449023472494</v>
      </c>
      <c r="Z379" s="21">
        <f t="shared" si="113"/>
        <v>6914.8898046944987</v>
      </c>
      <c r="AA379" s="21">
        <f t="shared" si="113"/>
        <v>13829.779609388997</v>
      </c>
      <c r="AB379" s="21">
        <f t="shared" si="113"/>
        <v>27659.559218777995</v>
      </c>
      <c r="AC379" s="21">
        <f t="shared" si="113"/>
        <v>55319.11843755599</v>
      </c>
      <c r="AD379" s="21">
        <f t="shared" si="113"/>
        <v>110638.23687511198</v>
      </c>
      <c r="AE379" s="21">
        <f t="shared" si="113"/>
        <v>138297.79609388998</v>
      </c>
      <c r="AF379" s="21">
        <f t="shared" si="113"/>
        <v>165957.35531266799</v>
      </c>
      <c r="AG379" s="21">
        <f t="shared" si="113"/>
        <v>193616.91453144597</v>
      </c>
      <c r="AH379" s="21">
        <f t="shared" si="113"/>
        <v>221276.47375022396</v>
      </c>
      <c r="AI379" s="21">
        <f t="shared" si="113"/>
        <v>283233.88640028669</v>
      </c>
      <c r="AJ379" s="21">
        <f t="shared" si="113"/>
        <v>331914.71062533598</v>
      </c>
      <c r="AK379" s="21">
        <f t="shared" si="113"/>
        <v>387233.82906289195</v>
      </c>
      <c r="AL379" s="21">
        <f t="shared" si="113"/>
        <v>442552.94750044792</v>
      </c>
      <c r="AM379" s="21">
        <f t="shared" si="113"/>
        <v>531063.5370005375</v>
      </c>
      <c r="AN379" s="21">
        <f t="shared" si="113"/>
        <v>619574.12650062714</v>
      </c>
      <c r="AO379" s="21">
        <f t="shared" si="113"/>
        <v>708084.71600071667</v>
      </c>
      <c r="AP379" s="21">
        <f t="shared" si="113"/>
        <v>796595.30550080631</v>
      </c>
      <c r="AQ379" s="21">
        <f t="shared" si="113"/>
        <v>885105.89500089583</v>
      </c>
      <c r="AR379" s="21">
        <f t="shared" si="113"/>
        <v>1062127.074001075</v>
      </c>
      <c r="AS379" s="21">
        <f t="shared" si="113"/>
        <v>1239148.2530012543</v>
      </c>
      <c r="AT379" s="21">
        <f t="shared" si="113"/>
        <v>1416169.4320014333</v>
      </c>
      <c r="AU379" s="21">
        <f t="shared" si="113"/>
        <v>1593190.6110016126</v>
      </c>
      <c r="AV379" s="21">
        <f t="shared" si="113"/>
        <v>1770211.7900017917</v>
      </c>
      <c r="AW379" s="21">
        <f t="shared" si="113"/>
        <v>2124254.14800215</v>
      </c>
      <c r="AX379" s="21">
        <f t="shared" si="113"/>
        <v>2478296.5060025086</v>
      </c>
      <c r="AY379" s="21">
        <f t="shared" si="113"/>
        <v>2832338.8640028667</v>
      </c>
      <c r="AZ379" s="21">
        <f t="shared" si="113"/>
        <v>3186381.2220032252</v>
      </c>
      <c r="BA379" s="21">
        <f t="shared" si="113"/>
        <v>3540423.5800035833</v>
      </c>
      <c r="BB379" s="21">
        <f t="shared" si="113"/>
        <v>4248508.2960043</v>
      </c>
      <c r="BC379" s="21">
        <f t="shared" si="113"/>
        <v>4956593.0120050171</v>
      </c>
      <c r="BD379" s="21">
        <f t="shared" si="113"/>
        <v>5664677.7280057333</v>
      </c>
      <c r="BE379" s="21">
        <f t="shared" si="113"/>
        <v>6372762.4440064505</v>
      </c>
      <c r="BF379" s="20">
        <f t="shared" si="113"/>
        <v>7080847.1600071667</v>
      </c>
      <c r="BG379" s="21">
        <f t="shared" si="113"/>
        <v>14161694.320014333</v>
      </c>
      <c r="BH379" s="21">
        <f t="shared" si="113"/>
        <v>28323388.640028667</v>
      </c>
      <c r="BI379" s="21">
        <f t="shared" si="113"/>
        <v>56646777.280057333</v>
      </c>
      <c r="BJ379" s="21">
        <f t="shared" si="113"/>
        <v>71432000.179179356</v>
      </c>
      <c r="BK379" s="72">
        <f t="shared" si="113"/>
        <v>71432000.179179356</v>
      </c>
      <c r="BL379" s="45"/>
    </row>
    <row r="380" spans="1:64" x14ac:dyDescent="0.25">
      <c r="A380" s="41"/>
      <c r="B380" s="6"/>
      <c r="C380" s="10"/>
      <c r="D380" s="8"/>
      <c r="E380" s="27">
        <v>2E-3</v>
      </c>
      <c r="F380" s="10"/>
      <c r="G380" s="10"/>
      <c r="H380" s="10"/>
      <c r="I380" s="10"/>
      <c r="J380" s="10"/>
      <c r="K380" s="10"/>
      <c r="L380" s="10"/>
      <c r="M380" s="10"/>
      <c r="N380" s="10"/>
      <c r="O380" s="10"/>
      <c r="P380" s="29">
        <f t="shared" ref="P380:BK380" si="114">P$335*$D$379*$E$380</f>
        <v>1.3505644149793944E-2</v>
      </c>
      <c r="Q380" s="30">
        <f t="shared" si="114"/>
        <v>2.7011288299587887E-2</v>
      </c>
      <c r="R380" s="30">
        <f t="shared" si="114"/>
        <v>5.4022576599175774E-2</v>
      </c>
      <c r="S380" s="30">
        <f t="shared" si="114"/>
        <v>0.10804515319835155</v>
      </c>
      <c r="T380" s="30">
        <f t="shared" si="114"/>
        <v>0.2160903063967031</v>
      </c>
      <c r="U380" s="30">
        <f t="shared" si="114"/>
        <v>0.43218061279340619</v>
      </c>
      <c r="V380" s="30">
        <f t="shared" si="114"/>
        <v>0.86436122558681239</v>
      </c>
      <c r="W380" s="30">
        <f t="shared" si="114"/>
        <v>1.7287224511736248</v>
      </c>
      <c r="X380" s="30">
        <f t="shared" si="114"/>
        <v>3.4574449023472495</v>
      </c>
      <c r="Y380" s="30">
        <f t="shared" si="114"/>
        <v>6.9148898046944991</v>
      </c>
      <c r="Z380" s="30">
        <f t="shared" si="114"/>
        <v>13.829779609388998</v>
      </c>
      <c r="AA380" s="30">
        <f t="shared" si="114"/>
        <v>27.659559218777996</v>
      </c>
      <c r="AB380" s="30">
        <f t="shared" si="114"/>
        <v>55.319118437555993</v>
      </c>
      <c r="AC380" s="30">
        <f t="shared" si="114"/>
        <v>110.63823687511199</v>
      </c>
      <c r="AD380" s="30">
        <f t="shared" si="114"/>
        <v>221.27647375022397</v>
      </c>
      <c r="AE380" s="30">
        <f t="shared" si="114"/>
        <v>276.59559218777997</v>
      </c>
      <c r="AF380" s="30">
        <f t="shared" si="114"/>
        <v>331.914710625336</v>
      </c>
      <c r="AG380" s="30">
        <f t="shared" si="114"/>
        <v>387.23382906289197</v>
      </c>
      <c r="AH380" s="30">
        <f t="shared" si="114"/>
        <v>442.55294750044794</v>
      </c>
      <c r="AI380" s="30">
        <f t="shared" si="114"/>
        <v>566.46777280057336</v>
      </c>
      <c r="AJ380" s="30">
        <f t="shared" si="114"/>
        <v>663.829421250672</v>
      </c>
      <c r="AK380" s="30">
        <f t="shared" si="114"/>
        <v>774.46765812578394</v>
      </c>
      <c r="AL380" s="30">
        <f t="shared" si="114"/>
        <v>885.10589500089588</v>
      </c>
      <c r="AM380" s="30">
        <f t="shared" si="114"/>
        <v>1062.127074001075</v>
      </c>
      <c r="AN380" s="30">
        <f t="shared" si="114"/>
        <v>1239.1482530012543</v>
      </c>
      <c r="AO380" s="30">
        <f t="shared" si="114"/>
        <v>1416.1694320014333</v>
      </c>
      <c r="AP380" s="30">
        <f t="shared" si="114"/>
        <v>1593.1906110016128</v>
      </c>
      <c r="AQ380" s="30">
        <f t="shared" si="114"/>
        <v>1770.2117900017918</v>
      </c>
      <c r="AR380" s="30">
        <f t="shared" si="114"/>
        <v>2124.25414800215</v>
      </c>
      <c r="AS380" s="30">
        <f t="shared" si="114"/>
        <v>2478.2965060025085</v>
      </c>
      <c r="AT380" s="30">
        <f t="shared" si="114"/>
        <v>2832.3388640028666</v>
      </c>
      <c r="AU380" s="30">
        <f t="shared" si="114"/>
        <v>3186.3812220032255</v>
      </c>
      <c r="AV380" s="30">
        <f t="shared" si="114"/>
        <v>3540.4235800035835</v>
      </c>
      <c r="AW380" s="30">
        <f t="shared" si="114"/>
        <v>4248.5082960043001</v>
      </c>
      <c r="AX380" s="30">
        <f t="shared" si="114"/>
        <v>4956.593012005017</v>
      </c>
      <c r="AY380" s="30">
        <f t="shared" si="114"/>
        <v>5664.6777280057331</v>
      </c>
      <c r="AZ380" s="30">
        <f t="shared" si="114"/>
        <v>6372.762444006451</v>
      </c>
      <c r="BA380" s="30">
        <f t="shared" si="114"/>
        <v>7080.8471600071671</v>
      </c>
      <c r="BB380" s="30">
        <f t="shared" si="114"/>
        <v>8497.0165920086001</v>
      </c>
      <c r="BC380" s="30">
        <f t="shared" si="114"/>
        <v>9913.1860240100341</v>
      </c>
      <c r="BD380" s="30">
        <f t="shared" si="114"/>
        <v>11329.355456011466</v>
      </c>
      <c r="BE380" s="30">
        <f t="shared" si="114"/>
        <v>12745.524888012902</v>
      </c>
      <c r="BF380" s="29">
        <f t="shared" si="114"/>
        <v>14161.694320014334</v>
      </c>
      <c r="BG380" s="30">
        <f t="shared" si="114"/>
        <v>28323.388640028668</v>
      </c>
      <c r="BH380" s="30">
        <f t="shared" si="114"/>
        <v>56646.777280057337</v>
      </c>
      <c r="BI380" s="30">
        <f t="shared" si="114"/>
        <v>113293.55456011467</v>
      </c>
      <c r="BJ380" s="30">
        <f t="shared" si="114"/>
        <v>142864.00035835872</v>
      </c>
      <c r="BK380" s="71">
        <f t="shared" si="114"/>
        <v>142864.00035835872</v>
      </c>
      <c r="BL380" s="45"/>
    </row>
    <row r="381" spans="1:64" x14ac:dyDescent="0.25">
      <c r="A381" s="42" t="s">
        <v>19</v>
      </c>
      <c r="B381" s="6">
        <f>'Population by Age - Wikipedia'!D13</f>
        <v>0.13835839467257338</v>
      </c>
      <c r="C381" s="10">
        <f>$B$316*B381</f>
        <v>45736511.914136559</v>
      </c>
      <c r="D381" s="23">
        <f>'AU Infection Rate by Age'!C11</f>
        <v>2.8847876724601325E-2</v>
      </c>
      <c r="E381" s="17"/>
      <c r="F381" s="10"/>
      <c r="G381" s="10"/>
      <c r="H381" s="10"/>
      <c r="I381" s="10"/>
      <c r="J381" s="10"/>
      <c r="K381" s="10"/>
      <c r="L381" s="10"/>
      <c r="M381" s="10"/>
      <c r="N381" s="10"/>
      <c r="O381" s="10"/>
      <c r="P381" s="20">
        <f t="shared" ref="P381:BK381" si="115">P$335*$D$381</f>
        <v>0.90149614764379138</v>
      </c>
      <c r="Q381" s="21">
        <f t="shared" si="115"/>
        <v>1.8029922952875828</v>
      </c>
      <c r="R381" s="21">
        <f t="shared" si="115"/>
        <v>3.6059845905751655</v>
      </c>
      <c r="S381" s="21">
        <f t="shared" si="115"/>
        <v>7.211969181150331</v>
      </c>
      <c r="T381" s="21">
        <f t="shared" si="115"/>
        <v>14.423938362300662</v>
      </c>
      <c r="U381" s="21">
        <f t="shared" si="115"/>
        <v>28.847876724601324</v>
      </c>
      <c r="V381" s="21">
        <f t="shared" si="115"/>
        <v>57.695753449202648</v>
      </c>
      <c r="W381" s="21">
        <f t="shared" si="115"/>
        <v>115.3915068984053</v>
      </c>
      <c r="X381" s="21">
        <f t="shared" si="115"/>
        <v>230.78301379681059</v>
      </c>
      <c r="Y381" s="21">
        <f t="shared" si="115"/>
        <v>461.56602759362119</v>
      </c>
      <c r="Z381" s="21">
        <f t="shared" si="115"/>
        <v>923.13205518724237</v>
      </c>
      <c r="AA381" s="21">
        <f t="shared" si="115"/>
        <v>1846.2641103744847</v>
      </c>
      <c r="AB381" s="21">
        <f t="shared" si="115"/>
        <v>3692.5282207489695</v>
      </c>
      <c r="AC381" s="21">
        <f t="shared" si="115"/>
        <v>7385.056441497939</v>
      </c>
      <c r="AD381" s="21">
        <f t="shared" si="115"/>
        <v>14770.112882995878</v>
      </c>
      <c r="AE381" s="21">
        <f t="shared" si="115"/>
        <v>18462.641103744849</v>
      </c>
      <c r="AF381" s="21">
        <f t="shared" si="115"/>
        <v>22155.169324493818</v>
      </c>
      <c r="AG381" s="21">
        <f t="shared" si="115"/>
        <v>25847.697545242787</v>
      </c>
      <c r="AH381" s="21">
        <f t="shared" si="115"/>
        <v>29540.225765991756</v>
      </c>
      <c r="AI381" s="21">
        <f t="shared" si="115"/>
        <v>37811.488980469447</v>
      </c>
      <c r="AJ381" s="21">
        <f t="shared" si="115"/>
        <v>44310.338648987636</v>
      </c>
      <c r="AK381" s="21">
        <f t="shared" si="115"/>
        <v>51695.395090485574</v>
      </c>
      <c r="AL381" s="21">
        <f t="shared" si="115"/>
        <v>59080.451531983512</v>
      </c>
      <c r="AM381" s="21">
        <f t="shared" si="115"/>
        <v>70896.541838380217</v>
      </c>
      <c r="AN381" s="21">
        <f t="shared" si="115"/>
        <v>82712.632144776915</v>
      </c>
      <c r="AO381" s="21">
        <f t="shared" si="115"/>
        <v>94528.722451173628</v>
      </c>
      <c r="AP381" s="21">
        <f t="shared" si="115"/>
        <v>106344.81275757033</v>
      </c>
      <c r="AQ381" s="21">
        <f t="shared" si="115"/>
        <v>118160.90306396702</v>
      </c>
      <c r="AR381" s="21">
        <f t="shared" si="115"/>
        <v>141793.08367676043</v>
      </c>
      <c r="AS381" s="21">
        <f t="shared" si="115"/>
        <v>165425.26428955383</v>
      </c>
      <c r="AT381" s="21">
        <f t="shared" si="115"/>
        <v>189057.44490234726</v>
      </c>
      <c r="AU381" s="21">
        <f t="shared" si="115"/>
        <v>212689.62551514065</v>
      </c>
      <c r="AV381" s="21">
        <f t="shared" si="115"/>
        <v>236321.80612793405</v>
      </c>
      <c r="AW381" s="21">
        <f t="shared" si="115"/>
        <v>283586.16735352087</v>
      </c>
      <c r="AX381" s="21">
        <f t="shared" si="115"/>
        <v>330850.52857910766</v>
      </c>
      <c r="AY381" s="21">
        <f t="shared" si="115"/>
        <v>378114.88980469451</v>
      </c>
      <c r="AZ381" s="21">
        <f t="shared" si="115"/>
        <v>425379.2510302813</v>
      </c>
      <c r="BA381" s="21">
        <f t="shared" si="115"/>
        <v>472643.61225586809</v>
      </c>
      <c r="BB381" s="21">
        <f t="shared" si="115"/>
        <v>567172.33470704174</v>
      </c>
      <c r="BC381" s="21">
        <f t="shared" si="115"/>
        <v>661701.05715821532</v>
      </c>
      <c r="BD381" s="21">
        <f t="shared" si="115"/>
        <v>756229.77960938902</v>
      </c>
      <c r="BE381" s="21">
        <f t="shared" si="115"/>
        <v>850758.50206056261</v>
      </c>
      <c r="BF381" s="20">
        <f t="shared" si="115"/>
        <v>945287.22451173619</v>
      </c>
      <c r="BG381" s="21">
        <f t="shared" si="115"/>
        <v>1890574.4490234724</v>
      </c>
      <c r="BH381" s="21">
        <f t="shared" si="115"/>
        <v>3781148.8980469448</v>
      </c>
      <c r="BI381" s="21">
        <f t="shared" si="115"/>
        <v>7562297.7960938895</v>
      </c>
      <c r="BJ381" s="21">
        <f t="shared" si="115"/>
        <v>9536112.7934061997</v>
      </c>
      <c r="BK381" s="72">
        <f t="shared" si="115"/>
        <v>9536112.7934061997</v>
      </c>
      <c r="BL381" s="45"/>
    </row>
    <row r="382" spans="1:64" x14ac:dyDescent="0.25">
      <c r="A382" s="42"/>
      <c r="B382" s="6"/>
      <c r="C382" s="10"/>
      <c r="D382" s="8"/>
      <c r="E382" s="27">
        <v>2E-3</v>
      </c>
      <c r="F382" s="10"/>
      <c r="G382" s="10"/>
      <c r="H382" s="10"/>
      <c r="I382" s="10"/>
      <c r="J382" s="10"/>
      <c r="K382" s="10"/>
      <c r="L382" s="10"/>
      <c r="M382" s="10"/>
      <c r="N382" s="10"/>
      <c r="O382" s="10"/>
      <c r="P382" s="29">
        <f t="shared" ref="P382:BK382" si="116">P$335*$D$381*$E$382</f>
        <v>1.8029922952875828E-3</v>
      </c>
      <c r="Q382" s="30">
        <f t="shared" si="116"/>
        <v>3.6059845905751656E-3</v>
      </c>
      <c r="R382" s="30">
        <f t="shared" si="116"/>
        <v>7.2119691811503312E-3</v>
      </c>
      <c r="S382" s="30">
        <f t="shared" si="116"/>
        <v>1.4423938362300662E-2</v>
      </c>
      <c r="T382" s="30">
        <f t="shared" si="116"/>
        <v>2.8847876724601325E-2</v>
      </c>
      <c r="U382" s="30">
        <f t="shared" si="116"/>
        <v>5.769575344920265E-2</v>
      </c>
      <c r="V382" s="30">
        <f t="shared" si="116"/>
        <v>0.1153915068984053</v>
      </c>
      <c r="W382" s="30">
        <f t="shared" si="116"/>
        <v>0.2307830137968106</v>
      </c>
      <c r="X382" s="30">
        <f t="shared" si="116"/>
        <v>0.4615660275936212</v>
      </c>
      <c r="Y382" s="30">
        <f t="shared" si="116"/>
        <v>0.9231320551872424</v>
      </c>
      <c r="Z382" s="30">
        <f t="shared" si="116"/>
        <v>1.8462641103744848</v>
      </c>
      <c r="AA382" s="30">
        <f t="shared" si="116"/>
        <v>3.6925282207489696</v>
      </c>
      <c r="AB382" s="30">
        <f t="shared" si="116"/>
        <v>7.3850564414979392</v>
      </c>
      <c r="AC382" s="30">
        <f t="shared" si="116"/>
        <v>14.770112882995878</v>
      </c>
      <c r="AD382" s="30">
        <f t="shared" si="116"/>
        <v>29.540225765991757</v>
      </c>
      <c r="AE382" s="30">
        <f t="shared" si="116"/>
        <v>36.925282207489701</v>
      </c>
      <c r="AF382" s="30">
        <f t="shared" si="116"/>
        <v>44.310338648987639</v>
      </c>
      <c r="AG382" s="30">
        <f t="shared" si="116"/>
        <v>51.695395090485576</v>
      </c>
      <c r="AH382" s="30">
        <f t="shared" si="116"/>
        <v>59.080451531983513</v>
      </c>
      <c r="AI382" s="30">
        <f t="shared" si="116"/>
        <v>75.622977960938897</v>
      </c>
      <c r="AJ382" s="30">
        <f t="shared" si="116"/>
        <v>88.620677297975277</v>
      </c>
      <c r="AK382" s="30">
        <f t="shared" si="116"/>
        <v>103.39079018097115</v>
      </c>
      <c r="AL382" s="30">
        <f t="shared" si="116"/>
        <v>118.16090306396703</v>
      </c>
      <c r="AM382" s="30">
        <f t="shared" si="116"/>
        <v>141.79308367676043</v>
      </c>
      <c r="AN382" s="30">
        <f t="shared" si="116"/>
        <v>165.42526428955384</v>
      </c>
      <c r="AO382" s="30">
        <f t="shared" si="116"/>
        <v>189.05744490234727</v>
      </c>
      <c r="AP382" s="30">
        <f t="shared" si="116"/>
        <v>212.68962551514065</v>
      </c>
      <c r="AQ382" s="30">
        <f t="shared" si="116"/>
        <v>236.32180612793405</v>
      </c>
      <c r="AR382" s="30">
        <f t="shared" si="116"/>
        <v>283.58616735352086</v>
      </c>
      <c r="AS382" s="30">
        <f t="shared" si="116"/>
        <v>330.85052857910767</v>
      </c>
      <c r="AT382" s="30">
        <f t="shared" si="116"/>
        <v>378.11488980469454</v>
      </c>
      <c r="AU382" s="30">
        <f t="shared" si="116"/>
        <v>425.3792510302813</v>
      </c>
      <c r="AV382" s="30">
        <f t="shared" si="116"/>
        <v>472.64361225586811</v>
      </c>
      <c r="AW382" s="30">
        <f t="shared" si="116"/>
        <v>567.17233470704173</v>
      </c>
      <c r="AX382" s="30">
        <f t="shared" si="116"/>
        <v>661.70105715821535</v>
      </c>
      <c r="AY382" s="30">
        <f t="shared" si="116"/>
        <v>756.22977960938908</v>
      </c>
      <c r="AZ382" s="30">
        <f t="shared" si="116"/>
        <v>850.75850206056259</v>
      </c>
      <c r="BA382" s="30">
        <f t="shared" si="116"/>
        <v>945.28722451173621</v>
      </c>
      <c r="BB382" s="30">
        <f t="shared" si="116"/>
        <v>1134.3446694140835</v>
      </c>
      <c r="BC382" s="30">
        <f t="shared" si="116"/>
        <v>1323.4021143164307</v>
      </c>
      <c r="BD382" s="30">
        <f t="shared" si="116"/>
        <v>1512.4595592187782</v>
      </c>
      <c r="BE382" s="30">
        <f t="shared" si="116"/>
        <v>1701.5170041211252</v>
      </c>
      <c r="BF382" s="29">
        <f t="shared" si="116"/>
        <v>1890.5744490234724</v>
      </c>
      <c r="BG382" s="30">
        <f t="shared" si="116"/>
        <v>3781.1488980469449</v>
      </c>
      <c r="BH382" s="30">
        <f t="shared" si="116"/>
        <v>7562.2977960938897</v>
      </c>
      <c r="BI382" s="30">
        <f t="shared" si="116"/>
        <v>15124.595592187779</v>
      </c>
      <c r="BJ382" s="30">
        <f t="shared" si="116"/>
        <v>19072.225586812401</v>
      </c>
      <c r="BK382" s="71">
        <f t="shared" si="116"/>
        <v>19072.225586812401</v>
      </c>
      <c r="BL382" s="45"/>
    </row>
    <row r="383" spans="1:64" x14ac:dyDescent="0.25">
      <c r="A383" s="42" t="s">
        <v>20</v>
      </c>
      <c r="B383" s="6">
        <f>'Population by Age - Wikipedia'!D9</f>
        <v>0.13133799200038965</v>
      </c>
      <c r="C383" s="10">
        <f>$B$316*B383</f>
        <v>43415808.994604804</v>
      </c>
      <c r="D383" s="23">
        <f>'AU Infection Rate by Age'!C12</f>
        <v>9.8548647195843032E-3</v>
      </c>
      <c r="E383" s="17"/>
      <c r="F383" s="10"/>
      <c r="G383" s="10"/>
      <c r="H383" s="10"/>
      <c r="I383" s="10"/>
      <c r="J383" s="10"/>
      <c r="K383" s="10"/>
      <c r="L383" s="10"/>
      <c r="M383" s="10"/>
      <c r="N383" s="10"/>
      <c r="O383" s="10"/>
      <c r="P383" s="20">
        <f t="shared" ref="P383:BK383" si="117">P$335*$D$383</f>
        <v>0.30796452248700945</v>
      </c>
      <c r="Q383" s="21">
        <f t="shared" si="117"/>
        <v>0.6159290449740189</v>
      </c>
      <c r="R383" s="21">
        <f t="shared" si="117"/>
        <v>1.2318580899480378</v>
      </c>
      <c r="S383" s="21">
        <f t="shared" si="117"/>
        <v>2.4637161798960756</v>
      </c>
      <c r="T383" s="21">
        <f t="shared" si="117"/>
        <v>4.9274323597921512</v>
      </c>
      <c r="U383" s="21">
        <f t="shared" si="117"/>
        <v>9.8548647195843024</v>
      </c>
      <c r="V383" s="21">
        <f t="shared" si="117"/>
        <v>19.709729439168605</v>
      </c>
      <c r="W383" s="21">
        <f t="shared" si="117"/>
        <v>39.41945887833721</v>
      </c>
      <c r="X383" s="21">
        <f t="shared" si="117"/>
        <v>78.838917756674419</v>
      </c>
      <c r="Y383" s="21">
        <f t="shared" si="117"/>
        <v>157.67783551334884</v>
      </c>
      <c r="Z383" s="21">
        <f t="shared" si="117"/>
        <v>315.35567102669768</v>
      </c>
      <c r="AA383" s="21">
        <f t="shared" si="117"/>
        <v>630.71134205339536</v>
      </c>
      <c r="AB383" s="21">
        <f t="shared" si="117"/>
        <v>1261.4226841067907</v>
      </c>
      <c r="AC383" s="21">
        <f t="shared" si="117"/>
        <v>2522.8453682135814</v>
      </c>
      <c r="AD383" s="21">
        <f t="shared" si="117"/>
        <v>5045.6907364271628</v>
      </c>
      <c r="AE383" s="21">
        <f t="shared" si="117"/>
        <v>6307.113420533954</v>
      </c>
      <c r="AF383" s="21">
        <f t="shared" si="117"/>
        <v>7568.5361046407452</v>
      </c>
      <c r="AG383" s="21">
        <f t="shared" si="117"/>
        <v>8829.9587887475354</v>
      </c>
      <c r="AH383" s="21">
        <f t="shared" si="117"/>
        <v>10091.381472854326</v>
      </c>
      <c r="AI383" s="21">
        <f t="shared" si="117"/>
        <v>12916.968285253537</v>
      </c>
      <c r="AJ383" s="21">
        <f t="shared" si="117"/>
        <v>15137.07220928149</v>
      </c>
      <c r="AK383" s="21">
        <f t="shared" si="117"/>
        <v>17659.917577495071</v>
      </c>
      <c r="AL383" s="21">
        <f t="shared" si="117"/>
        <v>20182.762945708651</v>
      </c>
      <c r="AM383" s="21">
        <f t="shared" si="117"/>
        <v>24219.315534850382</v>
      </c>
      <c r="AN383" s="21">
        <f t="shared" si="117"/>
        <v>28255.868123992113</v>
      </c>
      <c r="AO383" s="21">
        <f t="shared" si="117"/>
        <v>32292.420713133844</v>
      </c>
      <c r="AP383" s="21">
        <f t="shared" si="117"/>
        <v>36328.973302275575</v>
      </c>
      <c r="AQ383" s="21">
        <f t="shared" si="117"/>
        <v>40365.525891417303</v>
      </c>
      <c r="AR383" s="21">
        <f t="shared" si="117"/>
        <v>48438.631069700765</v>
      </c>
      <c r="AS383" s="21">
        <f t="shared" si="117"/>
        <v>56511.736247984227</v>
      </c>
      <c r="AT383" s="21">
        <f t="shared" si="117"/>
        <v>64584.841426267689</v>
      </c>
      <c r="AU383" s="21">
        <f t="shared" si="117"/>
        <v>72657.946604551151</v>
      </c>
      <c r="AV383" s="21">
        <f t="shared" si="117"/>
        <v>80731.051782834606</v>
      </c>
      <c r="AW383" s="21">
        <f t="shared" si="117"/>
        <v>96877.26213940153</v>
      </c>
      <c r="AX383" s="21">
        <f t="shared" si="117"/>
        <v>113023.47249596845</v>
      </c>
      <c r="AY383" s="21">
        <f t="shared" si="117"/>
        <v>129169.68285253538</v>
      </c>
      <c r="AZ383" s="21">
        <f t="shared" si="117"/>
        <v>145315.8932091023</v>
      </c>
      <c r="BA383" s="21">
        <f t="shared" si="117"/>
        <v>161462.10356566921</v>
      </c>
      <c r="BB383" s="21">
        <f t="shared" si="117"/>
        <v>193754.52427880306</v>
      </c>
      <c r="BC383" s="21">
        <f t="shared" si="117"/>
        <v>226046.94499193691</v>
      </c>
      <c r="BD383" s="21">
        <f t="shared" si="117"/>
        <v>258339.36570507076</v>
      </c>
      <c r="BE383" s="21">
        <f t="shared" si="117"/>
        <v>290631.7864182046</v>
      </c>
      <c r="BF383" s="20">
        <f t="shared" si="117"/>
        <v>322924.20713133842</v>
      </c>
      <c r="BG383" s="21">
        <f t="shared" si="117"/>
        <v>645848.41426267684</v>
      </c>
      <c r="BH383" s="21">
        <f t="shared" si="117"/>
        <v>1291696.8285253537</v>
      </c>
      <c r="BI383" s="21">
        <f t="shared" si="117"/>
        <v>2583393.6570507074</v>
      </c>
      <c r="BJ383" s="21">
        <f t="shared" si="117"/>
        <v>3257678.2834617449</v>
      </c>
      <c r="BK383" s="72">
        <f t="shared" si="117"/>
        <v>3257678.2834617449</v>
      </c>
      <c r="BL383" s="45"/>
    </row>
    <row r="384" spans="1:64" x14ac:dyDescent="0.25">
      <c r="A384" s="42"/>
      <c r="B384" s="7"/>
      <c r="C384" s="11"/>
      <c r="D384" s="26"/>
      <c r="E384" s="28">
        <v>0</v>
      </c>
      <c r="F384" s="10"/>
      <c r="G384" s="10"/>
      <c r="H384" s="10"/>
      <c r="I384" s="10"/>
      <c r="J384" s="10"/>
      <c r="K384" s="10"/>
      <c r="L384" s="10"/>
      <c r="M384" s="10"/>
      <c r="N384" s="10"/>
      <c r="O384" s="10"/>
      <c r="P384" s="31">
        <f t="shared" ref="P384:BK384" si="118">P$335*$D$383*$E$384</f>
        <v>0</v>
      </c>
      <c r="Q384" s="32">
        <f t="shared" si="118"/>
        <v>0</v>
      </c>
      <c r="R384" s="32">
        <f t="shared" si="118"/>
        <v>0</v>
      </c>
      <c r="S384" s="32">
        <f t="shared" si="118"/>
        <v>0</v>
      </c>
      <c r="T384" s="32">
        <f t="shared" si="118"/>
        <v>0</v>
      </c>
      <c r="U384" s="32">
        <f t="shared" si="118"/>
        <v>0</v>
      </c>
      <c r="V384" s="32">
        <f t="shared" si="118"/>
        <v>0</v>
      </c>
      <c r="W384" s="32">
        <f t="shared" si="118"/>
        <v>0</v>
      </c>
      <c r="X384" s="32">
        <f t="shared" si="118"/>
        <v>0</v>
      </c>
      <c r="Y384" s="32">
        <f t="shared" si="118"/>
        <v>0</v>
      </c>
      <c r="Z384" s="32">
        <f t="shared" si="118"/>
        <v>0</v>
      </c>
      <c r="AA384" s="32">
        <f t="shared" si="118"/>
        <v>0</v>
      </c>
      <c r="AB384" s="32">
        <f t="shared" si="118"/>
        <v>0</v>
      </c>
      <c r="AC384" s="32">
        <f t="shared" si="118"/>
        <v>0</v>
      </c>
      <c r="AD384" s="32">
        <f t="shared" si="118"/>
        <v>0</v>
      </c>
      <c r="AE384" s="32">
        <f t="shared" si="118"/>
        <v>0</v>
      </c>
      <c r="AF384" s="32">
        <f t="shared" si="118"/>
        <v>0</v>
      </c>
      <c r="AG384" s="32">
        <f t="shared" si="118"/>
        <v>0</v>
      </c>
      <c r="AH384" s="32">
        <f t="shared" si="118"/>
        <v>0</v>
      </c>
      <c r="AI384" s="32">
        <f t="shared" si="118"/>
        <v>0</v>
      </c>
      <c r="AJ384" s="32">
        <f t="shared" si="118"/>
        <v>0</v>
      </c>
      <c r="AK384" s="32">
        <f t="shared" si="118"/>
        <v>0</v>
      </c>
      <c r="AL384" s="32">
        <f t="shared" si="118"/>
        <v>0</v>
      </c>
      <c r="AM384" s="32">
        <f t="shared" si="118"/>
        <v>0</v>
      </c>
      <c r="AN384" s="32">
        <f t="shared" si="118"/>
        <v>0</v>
      </c>
      <c r="AO384" s="32">
        <f t="shared" si="118"/>
        <v>0</v>
      </c>
      <c r="AP384" s="32">
        <f t="shared" si="118"/>
        <v>0</v>
      </c>
      <c r="AQ384" s="32">
        <f t="shared" si="118"/>
        <v>0</v>
      </c>
      <c r="AR384" s="32">
        <f t="shared" si="118"/>
        <v>0</v>
      </c>
      <c r="AS384" s="32">
        <f t="shared" si="118"/>
        <v>0</v>
      </c>
      <c r="AT384" s="32">
        <f t="shared" si="118"/>
        <v>0</v>
      </c>
      <c r="AU384" s="32">
        <f t="shared" si="118"/>
        <v>0</v>
      </c>
      <c r="AV384" s="32">
        <f t="shared" si="118"/>
        <v>0</v>
      </c>
      <c r="AW384" s="32">
        <f t="shared" si="118"/>
        <v>0</v>
      </c>
      <c r="AX384" s="32">
        <f t="shared" si="118"/>
        <v>0</v>
      </c>
      <c r="AY384" s="32">
        <f t="shared" si="118"/>
        <v>0</v>
      </c>
      <c r="AZ384" s="32">
        <f t="shared" si="118"/>
        <v>0</v>
      </c>
      <c r="BA384" s="32">
        <f t="shared" si="118"/>
        <v>0</v>
      </c>
      <c r="BB384" s="32">
        <f t="shared" si="118"/>
        <v>0</v>
      </c>
      <c r="BC384" s="32">
        <f t="shared" si="118"/>
        <v>0</v>
      </c>
      <c r="BD384" s="32">
        <f t="shared" si="118"/>
        <v>0</v>
      </c>
      <c r="BE384" s="32">
        <f t="shared" si="118"/>
        <v>0</v>
      </c>
      <c r="BF384" s="29">
        <f t="shared" si="118"/>
        <v>0</v>
      </c>
      <c r="BG384" s="30">
        <f t="shared" si="118"/>
        <v>0</v>
      </c>
      <c r="BH384" s="30">
        <f t="shared" si="118"/>
        <v>0</v>
      </c>
      <c r="BI384" s="30">
        <f t="shared" si="118"/>
        <v>0</v>
      </c>
      <c r="BJ384" s="30">
        <f t="shared" si="118"/>
        <v>0</v>
      </c>
      <c r="BK384" s="71">
        <f t="shared" si="118"/>
        <v>0</v>
      </c>
      <c r="BL384" s="45"/>
    </row>
    <row r="385" spans="1:64" x14ac:dyDescent="0.25">
      <c r="A385" s="41" t="s">
        <v>39</v>
      </c>
      <c r="B385" s="14"/>
      <c r="C385" s="10"/>
      <c r="D385" s="10"/>
      <c r="E385" s="15"/>
      <c r="F385" s="10"/>
      <c r="G385" s="10"/>
      <c r="H385" s="10"/>
      <c r="I385" s="10"/>
      <c r="J385" s="10"/>
      <c r="K385" s="10"/>
      <c r="L385" s="10"/>
      <c r="M385" s="10"/>
      <c r="N385" s="10"/>
      <c r="O385" s="10"/>
      <c r="P385" s="18">
        <f t="shared" ref="P385:AP385" si="119">SUM(P367,P369,P371,P373,P375,P377,P379,P381,P383)</f>
        <v>31.249999999999996</v>
      </c>
      <c r="Q385" s="19">
        <f t="shared" si="119"/>
        <v>62.499999999999993</v>
      </c>
      <c r="R385" s="19">
        <f t="shared" si="119"/>
        <v>124.99999999999999</v>
      </c>
      <c r="S385" s="19">
        <f t="shared" si="119"/>
        <v>249.99999999999997</v>
      </c>
      <c r="T385" s="19">
        <f t="shared" si="119"/>
        <v>499.99999999999994</v>
      </c>
      <c r="U385" s="19">
        <f>SUM(U367,U369,U371,U373,U375,U377,U379,U381,U383)</f>
        <v>999.99999999999989</v>
      </c>
      <c r="V385" s="19">
        <f t="shared" si="119"/>
        <v>1999.9999999999998</v>
      </c>
      <c r="W385" s="19">
        <f t="shared" si="119"/>
        <v>3999.9999999999995</v>
      </c>
      <c r="X385" s="19">
        <f t="shared" si="119"/>
        <v>7999.9999999999991</v>
      </c>
      <c r="Y385" s="19">
        <f t="shared" si="119"/>
        <v>15999.999999999998</v>
      </c>
      <c r="Z385" s="19">
        <f t="shared" si="119"/>
        <v>31999.999999999996</v>
      </c>
      <c r="AA385" s="19">
        <f t="shared" si="119"/>
        <v>63999.999999999993</v>
      </c>
      <c r="AB385" s="19">
        <f t="shared" si="119"/>
        <v>127999.99999999999</v>
      </c>
      <c r="AC385" s="19">
        <f t="shared" si="119"/>
        <v>255999.99999999997</v>
      </c>
      <c r="AD385" s="19">
        <f t="shared" si="119"/>
        <v>511999.99999999994</v>
      </c>
      <c r="AE385" s="19">
        <f t="shared" ref="AE385:AG385" si="120">SUM(AE367,AE369,AE371,AE373,AE375,AE377,AE379,AE381,AE383)</f>
        <v>640000</v>
      </c>
      <c r="AF385" s="19">
        <f t="shared" si="120"/>
        <v>768000</v>
      </c>
      <c r="AG385" s="19">
        <f t="shared" si="120"/>
        <v>895999.99999999988</v>
      </c>
      <c r="AH385" s="19">
        <f t="shared" si="119"/>
        <v>1023999.9999999999</v>
      </c>
      <c r="AI385" s="19">
        <f t="shared" ref="AI385:AK385" si="121">SUM(AI367,AI369,AI371,AI373,AI375,AI377,AI379,AI381,AI383)</f>
        <v>1310720</v>
      </c>
      <c r="AJ385" s="19">
        <f t="shared" si="121"/>
        <v>1536000</v>
      </c>
      <c r="AK385" s="19">
        <f t="shared" si="121"/>
        <v>1791999.9999999998</v>
      </c>
      <c r="AL385" s="19">
        <f t="shared" si="119"/>
        <v>2047999.9999999998</v>
      </c>
      <c r="AM385" s="19">
        <f t="shared" si="119"/>
        <v>2457600</v>
      </c>
      <c r="AN385" s="19">
        <f t="shared" si="119"/>
        <v>2867200</v>
      </c>
      <c r="AO385" s="19">
        <f t="shared" si="119"/>
        <v>3276799.9999999995</v>
      </c>
      <c r="AP385" s="19">
        <f t="shared" si="119"/>
        <v>3686400</v>
      </c>
      <c r="AQ385" s="19">
        <f t="shared" ref="AQ385:BA386" si="122">SUM(AQ367,AQ369,AQ371,AQ373,AQ375,AQ377,AQ379,AQ381,AQ383)</f>
        <v>4095999.9999999995</v>
      </c>
      <c r="AR385" s="19">
        <f t="shared" ref="AR385:AU385" si="123">SUM(AR367,AR369,AR371,AR373,AR375,AR377,AR379,AR381,AR383)</f>
        <v>4915200</v>
      </c>
      <c r="AS385" s="19">
        <f t="shared" si="123"/>
        <v>5734400</v>
      </c>
      <c r="AT385" s="19">
        <f t="shared" si="123"/>
        <v>6553599.9999999991</v>
      </c>
      <c r="AU385" s="19">
        <f t="shared" si="123"/>
        <v>7372800</v>
      </c>
      <c r="AV385" s="19">
        <f t="shared" si="122"/>
        <v>8191999.9999999991</v>
      </c>
      <c r="AW385" s="19">
        <f t="shared" ref="AW385:AZ385" si="124">SUM(AW367,AW369,AW371,AW373,AW375,AW377,AW379,AW381,AW383)</f>
        <v>9830400</v>
      </c>
      <c r="AX385" s="19">
        <f t="shared" si="124"/>
        <v>11468800</v>
      </c>
      <c r="AY385" s="19">
        <f t="shared" si="124"/>
        <v>13107199.999999998</v>
      </c>
      <c r="AZ385" s="19">
        <f t="shared" si="124"/>
        <v>14745600</v>
      </c>
      <c r="BA385" s="19">
        <f t="shared" si="122"/>
        <v>16383999.999999998</v>
      </c>
      <c r="BB385" s="19">
        <f t="shared" ref="BB385:BE385" si="125">SUM(BB367,BB369,BB371,BB373,BB375,BB377,BB379,BB381,BB383)</f>
        <v>19660800</v>
      </c>
      <c r="BC385" s="19">
        <f t="shared" si="125"/>
        <v>22937600</v>
      </c>
      <c r="BD385" s="19">
        <f t="shared" si="125"/>
        <v>26214399.999999996</v>
      </c>
      <c r="BE385" s="19">
        <f t="shared" si="125"/>
        <v>29491200</v>
      </c>
      <c r="BF385" s="18">
        <f t="shared" ref="BF385:BK385" si="126">SUM(BF367,BF369,BF371,BF373,BF375,BF377,BF379,BF381,BF383)</f>
        <v>32767999.999999996</v>
      </c>
      <c r="BG385" s="19">
        <f t="shared" si="126"/>
        <v>65535999.999999993</v>
      </c>
      <c r="BH385" s="19">
        <f t="shared" si="126"/>
        <v>131071999.99999999</v>
      </c>
      <c r="BI385" s="19">
        <f t="shared" si="126"/>
        <v>262143999.99999997</v>
      </c>
      <c r="BJ385" s="19">
        <f t="shared" si="126"/>
        <v>330565499.99999994</v>
      </c>
      <c r="BK385" s="60">
        <f t="shared" si="126"/>
        <v>330565499.99999994</v>
      </c>
      <c r="BL385" s="45"/>
    </row>
    <row r="386" spans="1:64" x14ac:dyDescent="0.25">
      <c r="A386" s="43" t="s">
        <v>38</v>
      </c>
      <c r="B386" s="44"/>
      <c r="C386" s="11"/>
      <c r="D386" s="11"/>
      <c r="E386" s="38"/>
      <c r="F386" s="11"/>
      <c r="G386" s="11"/>
      <c r="H386" s="11"/>
      <c r="I386" s="11"/>
      <c r="J386" s="11"/>
      <c r="K386" s="11"/>
      <c r="L386" s="11"/>
      <c r="M386" s="11"/>
      <c r="N386" s="11"/>
      <c r="O386" s="11"/>
      <c r="P386" s="31">
        <f>SUM(P368,P370,P372,P374,P376,P378,P380,P382,P384)</f>
        <v>0.69269060204264477</v>
      </c>
      <c r="Q386" s="32">
        <f>SUM(Q368,Q370,Q372,Q374,Q376,Q378,Q380,Q382,Q384)</f>
        <v>1.3853812040852895</v>
      </c>
      <c r="R386" s="32">
        <f t="shared" ref="R386:AP386" si="127">SUM(R368,R370,R372,R374,R376,R378,R380,R382,R384)</f>
        <v>2.7707624081705791</v>
      </c>
      <c r="S386" s="32">
        <f t="shared" si="127"/>
        <v>5.5415248163411581</v>
      </c>
      <c r="T386" s="32">
        <f t="shared" si="127"/>
        <v>11.083049632682316</v>
      </c>
      <c r="U386" s="32">
        <f t="shared" si="127"/>
        <v>22.166099265364632</v>
      </c>
      <c r="V386" s="32">
        <f t="shared" si="127"/>
        <v>44.332198530729265</v>
      </c>
      <c r="W386" s="32">
        <f t="shared" si="127"/>
        <v>88.66439706145853</v>
      </c>
      <c r="X386" s="32">
        <f t="shared" si="127"/>
        <v>177.32879412291706</v>
      </c>
      <c r="Y386" s="32">
        <f t="shared" si="127"/>
        <v>354.65758824583412</v>
      </c>
      <c r="Z386" s="32">
        <f t="shared" si="127"/>
        <v>709.31517649166824</v>
      </c>
      <c r="AA386" s="32">
        <f t="shared" si="127"/>
        <v>1418.6303529833365</v>
      </c>
      <c r="AB386" s="32">
        <f t="shared" si="127"/>
        <v>2837.260705966673</v>
      </c>
      <c r="AC386" s="32">
        <f t="shared" si="127"/>
        <v>5674.5214119333459</v>
      </c>
      <c r="AD386" s="32">
        <f t="shared" si="127"/>
        <v>11349.042823866692</v>
      </c>
      <c r="AE386" s="32">
        <f t="shared" ref="AE386:AG386" si="128">SUM(AE368,AE370,AE372,AE374,AE376,AE378,AE380,AE382,AE384)</f>
        <v>14186.303529833365</v>
      </c>
      <c r="AF386" s="32">
        <f t="shared" si="128"/>
        <v>17023.564235800037</v>
      </c>
      <c r="AG386" s="32">
        <f t="shared" si="128"/>
        <v>19860.824941766703</v>
      </c>
      <c r="AH386" s="32">
        <f t="shared" si="127"/>
        <v>22698.085647733384</v>
      </c>
      <c r="AI386" s="32">
        <f t="shared" ref="AI386:AK386" si="129">SUM(AI368,AI370,AI372,AI374,AI376,AI378,AI380,AI382,AI384)</f>
        <v>29053.549629098728</v>
      </c>
      <c r="AJ386" s="32">
        <f t="shared" si="129"/>
        <v>34047.128471600074</v>
      </c>
      <c r="AK386" s="32">
        <f t="shared" si="129"/>
        <v>39721.649883533406</v>
      </c>
      <c r="AL386" s="32">
        <f t="shared" si="127"/>
        <v>45396.171295466767</v>
      </c>
      <c r="AM386" s="32">
        <f t="shared" si="127"/>
        <v>54475.405554560122</v>
      </c>
      <c r="AN386" s="32">
        <f t="shared" si="127"/>
        <v>63554.639813653455</v>
      </c>
      <c r="AO386" s="32">
        <f t="shared" si="127"/>
        <v>72633.874072746825</v>
      </c>
      <c r="AP386" s="32">
        <f t="shared" si="127"/>
        <v>81713.108331840151</v>
      </c>
      <c r="AQ386" s="32">
        <f t="shared" si="122"/>
        <v>90792.342590933535</v>
      </c>
      <c r="AR386" s="32">
        <f t="shared" ref="AR386:AU386" si="130">SUM(AR368,AR370,AR372,AR374,AR376,AR378,AR380,AR382,AR384)</f>
        <v>108950.81110912024</v>
      </c>
      <c r="AS386" s="32">
        <f t="shared" si="130"/>
        <v>127109.27962730691</v>
      </c>
      <c r="AT386" s="32">
        <f t="shared" si="130"/>
        <v>145267.74814549365</v>
      </c>
      <c r="AU386" s="32">
        <f t="shared" si="130"/>
        <v>163426.2166636803</v>
      </c>
      <c r="AV386" s="32">
        <f t="shared" si="122"/>
        <v>181584.68518186707</v>
      </c>
      <c r="AW386" s="32">
        <f t="shared" ref="AW386:AZ386" si="131">SUM(AW368,AW370,AW372,AW374,AW376,AW378,AW380,AW382,AW384)</f>
        <v>217901.62221824049</v>
      </c>
      <c r="AX386" s="32">
        <f t="shared" si="131"/>
        <v>254218.55925461382</v>
      </c>
      <c r="AY386" s="32">
        <f t="shared" si="131"/>
        <v>290535.4962909873</v>
      </c>
      <c r="AZ386" s="32">
        <f t="shared" si="131"/>
        <v>326852.4333273606</v>
      </c>
      <c r="BA386" s="32">
        <f t="shared" si="122"/>
        <v>363169.37036373414</v>
      </c>
      <c r="BB386" s="32">
        <f t="shared" ref="BB386:BE386" si="132">SUM(BB368,BB370,BB372,BB374,BB376,BB378,BB380,BB382,BB384)</f>
        <v>435803.24443648098</v>
      </c>
      <c r="BC386" s="32">
        <f t="shared" si="132"/>
        <v>508437.11850922764</v>
      </c>
      <c r="BD386" s="32">
        <f t="shared" si="132"/>
        <v>581070.9925819746</v>
      </c>
      <c r="BE386" s="32">
        <f t="shared" si="132"/>
        <v>653704.86665472121</v>
      </c>
      <c r="BF386" s="31">
        <f t="shared" ref="BF386:BK386" si="133">SUM(BF368,BF370,BF372,BF374,BF376,BF378,BF380,BF382,BF384)</f>
        <v>726338.74072746828</v>
      </c>
      <c r="BG386" s="32">
        <f t="shared" si="133"/>
        <v>1452677.4814549366</v>
      </c>
      <c r="BH386" s="32">
        <f t="shared" si="133"/>
        <v>2905354.9629098731</v>
      </c>
      <c r="BI386" s="32">
        <f t="shared" si="133"/>
        <v>5810709.9258197462</v>
      </c>
      <c r="BJ386" s="32">
        <f t="shared" si="133"/>
        <v>7327347.6867048908</v>
      </c>
      <c r="BK386" s="73">
        <f t="shared" si="133"/>
        <v>7327347.6867048908</v>
      </c>
      <c r="BL386" s="45"/>
    </row>
    <row r="387" spans="1:64" x14ac:dyDescent="0.25">
      <c r="A387" s="42"/>
      <c r="B387" s="14"/>
      <c r="C387" s="10"/>
      <c r="D387" s="10"/>
      <c r="E387" s="15"/>
      <c r="F387" s="10"/>
      <c r="G387" s="10"/>
      <c r="H387" s="10"/>
      <c r="I387" s="10"/>
      <c r="J387" s="10"/>
      <c r="K387" s="10"/>
      <c r="L387" s="10"/>
      <c r="M387" s="10"/>
      <c r="N387" s="10"/>
      <c r="O387" s="10"/>
      <c r="P387" s="45"/>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c r="AP387" s="45"/>
      <c r="AQ387" s="45"/>
      <c r="AR387" s="45"/>
      <c r="AS387" s="45"/>
      <c r="AT387" s="45"/>
      <c r="AU387" s="45"/>
    </row>
    <row r="388" spans="1:64" x14ac:dyDescent="0.25">
      <c r="A388" s="54" t="s">
        <v>50</v>
      </c>
      <c r="B388" s="14"/>
      <c r="C388" s="10"/>
      <c r="D388" s="10"/>
      <c r="E388" s="15"/>
      <c r="F388" s="10"/>
      <c r="G388" s="10"/>
      <c r="H388" s="10"/>
      <c r="I388" s="10"/>
      <c r="J388" s="10"/>
      <c r="K388" s="10"/>
      <c r="L388" s="10"/>
      <c r="M388" s="10"/>
      <c r="N388" s="10"/>
      <c r="O388" s="10"/>
      <c r="P388" s="45"/>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c r="AP388" s="45"/>
      <c r="AQ388" s="45"/>
      <c r="AR388" s="45"/>
      <c r="AS388" s="45"/>
      <c r="AT388" s="45"/>
      <c r="AU388" s="45"/>
    </row>
    <row r="389" spans="1:64" x14ac:dyDescent="0.25">
      <c r="A389" s="4"/>
      <c r="B389" s="9" t="s">
        <v>5</v>
      </c>
      <c r="C389" s="9" t="s">
        <v>3</v>
      </c>
      <c r="D389" s="9"/>
      <c r="E389" s="59" t="s">
        <v>2</v>
      </c>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c r="AZ389" s="9"/>
      <c r="BA389" s="9"/>
      <c r="BB389" s="9"/>
      <c r="BC389" s="9"/>
      <c r="BD389" s="9"/>
      <c r="BE389" s="9"/>
      <c r="BF389" s="9"/>
      <c r="BG389" s="9"/>
      <c r="BH389" s="9"/>
      <c r="BI389" s="9"/>
      <c r="BJ389" s="9"/>
      <c r="BK389" s="5"/>
      <c r="BL389" s="47"/>
    </row>
    <row r="390" spans="1:64" x14ac:dyDescent="0.25">
      <c r="A390" s="48" t="s">
        <v>1</v>
      </c>
      <c r="B390" s="24">
        <v>0.36799999999999999</v>
      </c>
      <c r="C390" s="10">
        <f>$B$316 * B390</f>
        <v>121648104</v>
      </c>
      <c r="D390" s="16"/>
      <c r="E390" s="16"/>
      <c r="F390" s="16"/>
      <c r="G390" s="16"/>
      <c r="H390" s="16"/>
      <c r="I390" s="16"/>
      <c r="J390" s="16"/>
      <c r="K390" s="16"/>
      <c r="L390" s="16"/>
      <c r="M390" s="16"/>
      <c r="N390" s="16"/>
      <c r="O390" s="16"/>
      <c r="P390" s="18">
        <f t="shared" ref="P390:BK390" si="134">P$335*$B$390</f>
        <v>11.5</v>
      </c>
      <c r="Q390" s="19">
        <f t="shared" si="134"/>
        <v>23</v>
      </c>
      <c r="R390" s="19">
        <f t="shared" si="134"/>
        <v>46</v>
      </c>
      <c r="S390" s="19">
        <f t="shared" si="134"/>
        <v>92</v>
      </c>
      <c r="T390" s="19">
        <f t="shared" si="134"/>
        <v>184</v>
      </c>
      <c r="U390" s="19">
        <f t="shared" si="134"/>
        <v>368</v>
      </c>
      <c r="V390" s="19">
        <f t="shared" si="134"/>
        <v>736</v>
      </c>
      <c r="W390" s="19">
        <f t="shared" si="134"/>
        <v>1472</v>
      </c>
      <c r="X390" s="19">
        <f t="shared" si="134"/>
        <v>2944</v>
      </c>
      <c r="Y390" s="19">
        <f t="shared" si="134"/>
        <v>5888</v>
      </c>
      <c r="Z390" s="19">
        <f t="shared" si="134"/>
        <v>11776</v>
      </c>
      <c r="AA390" s="19">
        <f t="shared" si="134"/>
        <v>23552</v>
      </c>
      <c r="AB390" s="19">
        <f t="shared" si="134"/>
        <v>47104</v>
      </c>
      <c r="AC390" s="19">
        <f t="shared" si="134"/>
        <v>94208</v>
      </c>
      <c r="AD390" s="19">
        <f t="shared" si="134"/>
        <v>188416</v>
      </c>
      <c r="AE390" s="19">
        <f t="shared" si="134"/>
        <v>235520</v>
      </c>
      <c r="AF390" s="19">
        <f t="shared" si="134"/>
        <v>282624</v>
      </c>
      <c r="AG390" s="19">
        <f t="shared" si="134"/>
        <v>329728</v>
      </c>
      <c r="AH390" s="19">
        <f t="shared" si="134"/>
        <v>376832</v>
      </c>
      <c r="AI390" s="19">
        <f t="shared" si="134"/>
        <v>482344.95999999996</v>
      </c>
      <c r="AJ390" s="19">
        <f t="shared" si="134"/>
        <v>565248</v>
      </c>
      <c r="AK390" s="19">
        <f t="shared" si="134"/>
        <v>659456</v>
      </c>
      <c r="AL390" s="19">
        <f t="shared" si="134"/>
        <v>753664</v>
      </c>
      <c r="AM390" s="19">
        <f t="shared" si="134"/>
        <v>904396.79999999993</v>
      </c>
      <c r="AN390" s="19">
        <f t="shared" si="134"/>
        <v>1055129.6000000001</v>
      </c>
      <c r="AO390" s="19">
        <f t="shared" si="134"/>
        <v>1205862.3999999999</v>
      </c>
      <c r="AP390" s="19">
        <f t="shared" si="134"/>
        <v>1356595.2</v>
      </c>
      <c r="AQ390" s="19">
        <f t="shared" si="134"/>
        <v>1507328</v>
      </c>
      <c r="AR390" s="19">
        <f t="shared" si="134"/>
        <v>1808793.5999999999</v>
      </c>
      <c r="AS390" s="19">
        <f t="shared" si="134"/>
        <v>2110259.2000000002</v>
      </c>
      <c r="AT390" s="19">
        <f t="shared" si="134"/>
        <v>2411724.7999999998</v>
      </c>
      <c r="AU390" s="19">
        <f t="shared" si="134"/>
        <v>2713190.3999999999</v>
      </c>
      <c r="AV390" s="19">
        <f t="shared" si="134"/>
        <v>3014656</v>
      </c>
      <c r="AW390" s="19">
        <f t="shared" si="134"/>
        <v>3617587.1999999997</v>
      </c>
      <c r="AX390" s="19">
        <f t="shared" si="134"/>
        <v>4220518.4000000004</v>
      </c>
      <c r="AY390" s="19">
        <f t="shared" si="134"/>
        <v>4823449.5999999996</v>
      </c>
      <c r="AZ390" s="19">
        <f t="shared" si="134"/>
        <v>5426380.7999999998</v>
      </c>
      <c r="BA390" s="19">
        <f t="shared" si="134"/>
        <v>6029312</v>
      </c>
      <c r="BB390" s="19">
        <f t="shared" si="134"/>
        <v>7235174.3999999994</v>
      </c>
      <c r="BC390" s="19">
        <f t="shared" si="134"/>
        <v>8441036.8000000007</v>
      </c>
      <c r="BD390" s="19">
        <f t="shared" si="134"/>
        <v>9646899.1999999993</v>
      </c>
      <c r="BE390" s="19">
        <f t="shared" si="134"/>
        <v>10852761.6</v>
      </c>
      <c r="BF390" s="18">
        <f t="shared" si="134"/>
        <v>12058624</v>
      </c>
      <c r="BG390" s="19">
        <f t="shared" si="134"/>
        <v>24117248</v>
      </c>
      <c r="BH390" s="19">
        <f t="shared" si="134"/>
        <v>48234496</v>
      </c>
      <c r="BI390" s="19">
        <f t="shared" si="134"/>
        <v>96468992</v>
      </c>
      <c r="BJ390" s="19">
        <f t="shared" si="134"/>
        <v>121648104</v>
      </c>
      <c r="BK390" s="60">
        <f t="shared" si="134"/>
        <v>121648104</v>
      </c>
      <c r="BL390" s="45"/>
    </row>
    <row r="391" spans="1:64" x14ac:dyDescent="0.25">
      <c r="A391" s="48"/>
      <c r="B391" s="16"/>
      <c r="C391" s="16"/>
      <c r="D391" s="25"/>
      <c r="E391" s="46">
        <v>0.105</v>
      </c>
      <c r="F391" s="16"/>
      <c r="G391" s="16"/>
      <c r="H391" s="16"/>
      <c r="I391" s="16"/>
      <c r="J391" s="16"/>
      <c r="K391" s="16"/>
      <c r="L391" s="16"/>
      <c r="M391" s="16"/>
      <c r="N391" s="16"/>
      <c r="O391" s="16"/>
      <c r="P391" s="29">
        <f>P390*$E$391</f>
        <v>1.2075</v>
      </c>
      <c r="Q391" s="30">
        <f t="shared" ref="Q391:AP391" si="135">Q390*$E$391</f>
        <v>2.415</v>
      </c>
      <c r="R391" s="30">
        <f t="shared" si="135"/>
        <v>4.83</v>
      </c>
      <c r="S391" s="30">
        <f t="shared" si="135"/>
        <v>9.66</v>
      </c>
      <c r="T391" s="30">
        <f t="shared" si="135"/>
        <v>19.32</v>
      </c>
      <c r="U391" s="30">
        <f t="shared" si="135"/>
        <v>38.64</v>
      </c>
      <c r="V391" s="30">
        <f t="shared" si="135"/>
        <v>77.28</v>
      </c>
      <c r="W391" s="30">
        <f t="shared" si="135"/>
        <v>154.56</v>
      </c>
      <c r="X391" s="30">
        <f t="shared" si="135"/>
        <v>309.12</v>
      </c>
      <c r="Y391" s="30">
        <f t="shared" si="135"/>
        <v>618.24</v>
      </c>
      <c r="Z391" s="30">
        <f t="shared" si="135"/>
        <v>1236.48</v>
      </c>
      <c r="AA391" s="30">
        <f t="shared" si="135"/>
        <v>2472.96</v>
      </c>
      <c r="AB391" s="30">
        <f t="shared" si="135"/>
        <v>4945.92</v>
      </c>
      <c r="AC391" s="30">
        <f t="shared" si="135"/>
        <v>9891.84</v>
      </c>
      <c r="AD391" s="30">
        <f t="shared" si="135"/>
        <v>19783.68</v>
      </c>
      <c r="AE391" s="30">
        <f t="shared" ref="AE391:AG391" si="136">AE390*$E$391</f>
        <v>24729.599999999999</v>
      </c>
      <c r="AF391" s="30">
        <f t="shared" si="136"/>
        <v>29675.52</v>
      </c>
      <c r="AG391" s="30">
        <f t="shared" si="136"/>
        <v>34621.440000000002</v>
      </c>
      <c r="AH391" s="30">
        <f t="shared" si="135"/>
        <v>39567.360000000001</v>
      </c>
      <c r="AI391" s="30">
        <f t="shared" ref="AI391:AK391" si="137">AI390*$E$391</f>
        <v>50646.220799999996</v>
      </c>
      <c r="AJ391" s="30">
        <f t="shared" si="137"/>
        <v>59351.040000000001</v>
      </c>
      <c r="AK391" s="30">
        <f t="shared" si="137"/>
        <v>69242.880000000005</v>
      </c>
      <c r="AL391" s="30">
        <f t="shared" si="135"/>
        <v>79134.720000000001</v>
      </c>
      <c r="AM391" s="30">
        <f t="shared" si="135"/>
        <v>94961.66399999999</v>
      </c>
      <c r="AN391" s="30">
        <f t="shared" si="135"/>
        <v>110788.60800000001</v>
      </c>
      <c r="AO391" s="30">
        <f t="shared" si="135"/>
        <v>126615.55199999998</v>
      </c>
      <c r="AP391" s="30">
        <f t="shared" si="135"/>
        <v>142442.49599999998</v>
      </c>
      <c r="AQ391" s="30">
        <f>AQ390*$E$391</f>
        <v>158269.44</v>
      </c>
      <c r="AR391" s="30">
        <f t="shared" ref="AR391:AU391" si="138">AR390*$E$391</f>
        <v>189923.32799999998</v>
      </c>
      <c r="AS391" s="30">
        <f t="shared" si="138"/>
        <v>221577.21600000001</v>
      </c>
      <c r="AT391" s="30">
        <f t="shared" si="138"/>
        <v>253231.10399999996</v>
      </c>
      <c r="AU391" s="30">
        <f t="shared" si="138"/>
        <v>284884.99199999997</v>
      </c>
      <c r="AV391" s="30">
        <f>AV390*$E$391</f>
        <v>316538.88</v>
      </c>
      <c r="AW391" s="30">
        <f t="shared" ref="AW391:AZ391" si="139">AW390*$E$391</f>
        <v>379846.65599999996</v>
      </c>
      <c r="AX391" s="30">
        <f t="shared" si="139"/>
        <v>443154.43200000003</v>
      </c>
      <c r="AY391" s="30">
        <f t="shared" si="139"/>
        <v>506462.20799999993</v>
      </c>
      <c r="AZ391" s="30">
        <f t="shared" si="139"/>
        <v>569769.98399999994</v>
      </c>
      <c r="BA391" s="30">
        <f>BA390*$E$391</f>
        <v>633077.76000000001</v>
      </c>
      <c r="BB391" s="30">
        <f t="shared" ref="BB391:BE391" si="140">BB390*$E$391</f>
        <v>759693.31199999992</v>
      </c>
      <c r="BC391" s="30">
        <f t="shared" si="140"/>
        <v>886308.86400000006</v>
      </c>
      <c r="BD391" s="30">
        <f t="shared" si="140"/>
        <v>1012924.4159999999</v>
      </c>
      <c r="BE391" s="30">
        <f t="shared" si="140"/>
        <v>1139539.9679999999</v>
      </c>
      <c r="BF391" s="29">
        <f t="shared" ref="BF391:BK391" si="141">BF390*$E$391</f>
        <v>1266155.52</v>
      </c>
      <c r="BG391" s="30">
        <f t="shared" si="141"/>
        <v>2532311.04</v>
      </c>
      <c r="BH391" s="30">
        <f t="shared" si="141"/>
        <v>5064622.0800000001</v>
      </c>
      <c r="BI391" s="30">
        <f t="shared" si="141"/>
        <v>10129244.16</v>
      </c>
      <c r="BJ391" s="30">
        <f t="shared" si="141"/>
        <v>12773050.92</v>
      </c>
      <c r="BK391" s="71">
        <f t="shared" si="141"/>
        <v>12773050.92</v>
      </c>
      <c r="BL391" s="45"/>
    </row>
    <row r="392" spans="1:64" x14ac:dyDescent="0.25">
      <c r="A392" s="48" t="s">
        <v>4</v>
      </c>
      <c r="B392" s="24">
        <v>9.8000000000000004E-2</v>
      </c>
      <c r="C392" s="10">
        <f>$B$316 * B392</f>
        <v>32395419</v>
      </c>
      <c r="D392" s="47"/>
      <c r="E392" s="16"/>
      <c r="F392" s="16"/>
      <c r="G392" s="16"/>
      <c r="H392" s="16"/>
      <c r="I392" s="16"/>
      <c r="J392" s="16"/>
      <c r="K392" s="16"/>
      <c r="L392" s="16"/>
      <c r="M392" s="16"/>
      <c r="N392" s="16"/>
      <c r="O392" s="16"/>
      <c r="P392" s="20">
        <f t="shared" ref="P392:BK392" si="142">P$335*$B$392</f>
        <v>3.0625</v>
      </c>
      <c r="Q392" s="21">
        <f t="shared" si="142"/>
        <v>6.125</v>
      </c>
      <c r="R392" s="21">
        <f t="shared" si="142"/>
        <v>12.25</v>
      </c>
      <c r="S392" s="21">
        <f t="shared" si="142"/>
        <v>24.5</v>
      </c>
      <c r="T392" s="21">
        <f t="shared" si="142"/>
        <v>49</v>
      </c>
      <c r="U392" s="21">
        <f t="shared" si="142"/>
        <v>98</v>
      </c>
      <c r="V392" s="21">
        <f t="shared" si="142"/>
        <v>196</v>
      </c>
      <c r="W392" s="21">
        <f t="shared" si="142"/>
        <v>392</v>
      </c>
      <c r="X392" s="21">
        <f t="shared" si="142"/>
        <v>784</v>
      </c>
      <c r="Y392" s="21">
        <f t="shared" si="142"/>
        <v>1568</v>
      </c>
      <c r="Z392" s="21">
        <f t="shared" si="142"/>
        <v>3136</v>
      </c>
      <c r="AA392" s="21">
        <f t="shared" si="142"/>
        <v>6272</v>
      </c>
      <c r="AB392" s="21">
        <f t="shared" si="142"/>
        <v>12544</v>
      </c>
      <c r="AC392" s="21">
        <f t="shared" si="142"/>
        <v>25088</v>
      </c>
      <c r="AD392" s="21">
        <f t="shared" si="142"/>
        <v>50176</v>
      </c>
      <c r="AE392" s="21">
        <f t="shared" si="142"/>
        <v>62720</v>
      </c>
      <c r="AF392" s="21">
        <f t="shared" si="142"/>
        <v>75264</v>
      </c>
      <c r="AG392" s="21">
        <f t="shared" si="142"/>
        <v>87808</v>
      </c>
      <c r="AH392" s="21">
        <f t="shared" si="142"/>
        <v>100352</v>
      </c>
      <c r="AI392" s="21">
        <f t="shared" si="142"/>
        <v>128450.56</v>
      </c>
      <c r="AJ392" s="21">
        <f t="shared" si="142"/>
        <v>150528</v>
      </c>
      <c r="AK392" s="21">
        <f t="shared" si="142"/>
        <v>175616</v>
      </c>
      <c r="AL392" s="21">
        <f t="shared" si="142"/>
        <v>200704</v>
      </c>
      <c r="AM392" s="21">
        <f t="shared" si="142"/>
        <v>240844.80000000002</v>
      </c>
      <c r="AN392" s="21">
        <f t="shared" si="142"/>
        <v>280985.60000000003</v>
      </c>
      <c r="AO392" s="21">
        <f t="shared" si="142"/>
        <v>321126.40000000002</v>
      </c>
      <c r="AP392" s="21">
        <f t="shared" si="142"/>
        <v>361267.20000000001</v>
      </c>
      <c r="AQ392" s="21">
        <f t="shared" si="142"/>
        <v>401408</v>
      </c>
      <c r="AR392" s="21">
        <f t="shared" si="142"/>
        <v>481689.60000000003</v>
      </c>
      <c r="AS392" s="21">
        <f t="shared" si="142"/>
        <v>561971.20000000007</v>
      </c>
      <c r="AT392" s="21">
        <f t="shared" si="142"/>
        <v>642252.80000000005</v>
      </c>
      <c r="AU392" s="21">
        <f t="shared" si="142"/>
        <v>722534.40000000002</v>
      </c>
      <c r="AV392" s="21">
        <f t="shared" si="142"/>
        <v>802816</v>
      </c>
      <c r="AW392" s="21">
        <f t="shared" si="142"/>
        <v>963379.20000000007</v>
      </c>
      <c r="AX392" s="21">
        <f t="shared" si="142"/>
        <v>1123942.4000000001</v>
      </c>
      <c r="AY392" s="21">
        <f t="shared" si="142"/>
        <v>1284505.6000000001</v>
      </c>
      <c r="AZ392" s="21">
        <f t="shared" si="142"/>
        <v>1445068.8</v>
      </c>
      <c r="BA392" s="21">
        <f t="shared" si="142"/>
        <v>1605632</v>
      </c>
      <c r="BB392" s="21">
        <f t="shared" si="142"/>
        <v>1926758.4000000001</v>
      </c>
      <c r="BC392" s="21">
        <f t="shared" si="142"/>
        <v>2247884.8000000003</v>
      </c>
      <c r="BD392" s="21">
        <f t="shared" si="142"/>
        <v>2569011.2000000002</v>
      </c>
      <c r="BE392" s="21">
        <f t="shared" si="142"/>
        <v>2890137.6000000001</v>
      </c>
      <c r="BF392" s="20">
        <f t="shared" si="142"/>
        <v>3211264</v>
      </c>
      <c r="BG392" s="21">
        <f t="shared" si="142"/>
        <v>6422528</v>
      </c>
      <c r="BH392" s="21">
        <f t="shared" si="142"/>
        <v>12845056</v>
      </c>
      <c r="BI392" s="21">
        <f t="shared" si="142"/>
        <v>25690112</v>
      </c>
      <c r="BJ392" s="21">
        <f t="shared" si="142"/>
        <v>32395419</v>
      </c>
      <c r="BK392" s="72">
        <f t="shared" si="142"/>
        <v>32395419</v>
      </c>
      <c r="BL392" s="45"/>
    </row>
    <row r="393" spans="1:64" x14ac:dyDescent="0.25">
      <c r="A393" s="48"/>
      <c r="B393" s="16"/>
      <c r="C393" s="16"/>
      <c r="D393" s="25"/>
      <c r="E393" s="46">
        <v>7.2999999999999995E-2</v>
      </c>
      <c r="F393" s="16"/>
      <c r="G393" s="16"/>
      <c r="H393" s="16"/>
      <c r="I393" s="16"/>
      <c r="J393" s="16"/>
      <c r="K393" s="16"/>
      <c r="L393" s="16"/>
      <c r="M393" s="16"/>
      <c r="N393" s="16"/>
      <c r="O393" s="16"/>
      <c r="P393" s="29">
        <f t="shared" ref="P393:AP393" si="143">P392*$E$393</f>
        <v>0.2235625</v>
      </c>
      <c r="Q393" s="30">
        <f t="shared" si="143"/>
        <v>0.44712499999999999</v>
      </c>
      <c r="R393" s="30">
        <f t="shared" si="143"/>
        <v>0.89424999999999999</v>
      </c>
      <c r="S393" s="30">
        <f t="shared" si="143"/>
        <v>1.7885</v>
      </c>
      <c r="T393" s="30">
        <f t="shared" si="143"/>
        <v>3.577</v>
      </c>
      <c r="U393" s="30">
        <f t="shared" si="143"/>
        <v>7.1539999999999999</v>
      </c>
      <c r="V393" s="30">
        <f t="shared" si="143"/>
        <v>14.308</v>
      </c>
      <c r="W393" s="30">
        <f t="shared" si="143"/>
        <v>28.616</v>
      </c>
      <c r="X393" s="30">
        <f t="shared" si="143"/>
        <v>57.231999999999999</v>
      </c>
      <c r="Y393" s="30">
        <f t="shared" si="143"/>
        <v>114.464</v>
      </c>
      <c r="Z393" s="30">
        <f t="shared" si="143"/>
        <v>228.928</v>
      </c>
      <c r="AA393" s="30">
        <f t="shared" si="143"/>
        <v>457.85599999999999</v>
      </c>
      <c r="AB393" s="30">
        <f t="shared" si="143"/>
        <v>915.71199999999999</v>
      </c>
      <c r="AC393" s="30">
        <f t="shared" si="143"/>
        <v>1831.424</v>
      </c>
      <c r="AD393" s="30">
        <f t="shared" si="143"/>
        <v>3662.848</v>
      </c>
      <c r="AE393" s="30">
        <f t="shared" ref="AE393:AG393" si="144">AE392*$E$393</f>
        <v>4578.5599999999995</v>
      </c>
      <c r="AF393" s="30">
        <f t="shared" si="144"/>
        <v>5494.2719999999999</v>
      </c>
      <c r="AG393" s="30">
        <f t="shared" si="144"/>
        <v>6409.9839999999995</v>
      </c>
      <c r="AH393" s="30">
        <f t="shared" si="143"/>
        <v>7325.6959999999999</v>
      </c>
      <c r="AI393" s="30">
        <f t="shared" ref="AI393:AK393" si="145">AI392*$E$393</f>
        <v>9376.890879999999</v>
      </c>
      <c r="AJ393" s="30">
        <f t="shared" si="145"/>
        <v>10988.544</v>
      </c>
      <c r="AK393" s="30">
        <f t="shared" si="145"/>
        <v>12819.967999999999</v>
      </c>
      <c r="AL393" s="30">
        <f t="shared" si="143"/>
        <v>14651.392</v>
      </c>
      <c r="AM393" s="30">
        <f t="shared" si="143"/>
        <v>17581.670399999999</v>
      </c>
      <c r="AN393" s="30">
        <f t="shared" si="143"/>
        <v>20511.948800000002</v>
      </c>
      <c r="AO393" s="30">
        <f t="shared" si="143"/>
        <v>23442.227200000001</v>
      </c>
      <c r="AP393" s="30">
        <f t="shared" si="143"/>
        <v>26372.5056</v>
      </c>
      <c r="AQ393" s="30">
        <f>AQ392*$E$393</f>
        <v>29302.784</v>
      </c>
      <c r="AR393" s="30">
        <f t="shared" ref="AR393:AU393" si="146">AR392*$E$393</f>
        <v>35163.340799999998</v>
      </c>
      <c r="AS393" s="30">
        <f t="shared" si="146"/>
        <v>41023.897600000004</v>
      </c>
      <c r="AT393" s="30">
        <f t="shared" si="146"/>
        <v>46884.454400000002</v>
      </c>
      <c r="AU393" s="30">
        <f t="shared" si="146"/>
        <v>52745.011200000001</v>
      </c>
      <c r="AV393" s="30">
        <f>AV392*$E$393</f>
        <v>58605.567999999999</v>
      </c>
      <c r="AW393" s="30">
        <f t="shared" ref="AW393:AZ393" si="147">AW392*$E$393</f>
        <v>70326.681599999996</v>
      </c>
      <c r="AX393" s="30">
        <f t="shared" si="147"/>
        <v>82047.795200000008</v>
      </c>
      <c r="AY393" s="30">
        <f t="shared" si="147"/>
        <v>93768.908800000005</v>
      </c>
      <c r="AZ393" s="30">
        <f t="shared" si="147"/>
        <v>105490.0224</v>
      </c>
      <c r="BA393" s="30">
        <f>BA392*$E$393</f>
        <v>117211.136</v>
      </c>
      <c r="BB393" s="30">
        <f t="shared" ref="BB393:BE393" si="148">BB392*$E$393</f>
        <v>140653.36319999999</v>
      </c>
      <c r="BC393" s="30">
        <f t="shared" si="148"/>
        <v>164095.59040000002</v>
      </c>
      <c r="BD393" s="30">
        <f t="shared" si="148"/>
        <v>187537.81760000001</v>
      </c>
      <c r="BE393" s="30">
        <f t="shared" si="148"/>
        <v>210980.0448</v>
      </c>
      <c r="BF393" s="29">
        <f t="shared" ref="BF393:BK393" si="149">BF392*$E$393</f>
        <v>234422.272</v>
      </c>
      <c r="BG393" s="30">
        <f t="shared" si="149"/>
        <v>468844.54399999999</v>
      </c>
      <c r="BH393" s="30">
        <f t="shared" si="149"/>
        <v>937689.08799999999</v>
      </c>
      <c r="BI393" s="30">
        <f t="shared" si="149"/>
        <v>1875378.176</v>
      </c>
      <c r="BJ393" s="30">
        <f t="shared" si="149"/>
        <v>2364865.5869999998</v>
      </c>
      <c r="BK393" s="71">
        <f t="shared" si="149"/>
        <v>2364865.5869999998</v>
      </c>
      <c r="BL393" s="45"/>
    </row>
    <row r="394" spans="1:64" x14ac:dyDescent="0.25">
      <c r="A394" s="48" t="s">
        <v>6</v>
      </c>
      <c r="B394" s="24">
        <v>0.13400000000000001</v>
      </c>
      <c r="C394" s="10">
        <f>$B$316 * B394</f>
        <v>44295777</v>
      </c>
      <c r="D394" s="47"/>
      <c r="E394" s="16"/>
      <c r="F394" s="16"/>
      <c r="G394" s="16"/>
      <c r="H394" s="16"/>
      <c r="I394" s="16"/>
      <c r="J394" s="16"/>
      <c r="K394" s="16"/>
      <c r="L394" s="16"/>
      <c r="M394" s="16"/>
      <c r="N394" s="16"/>
      <c r="O394" s="16"/>
      <c r="P394" s="20">
        <f t="shared" ref="P394:BK394" si="150">P$335*$B$394</f>
        <v>4.1875</v>
      </c>
      <c r="Q394" s="21">
        <f t="shared" si="150"/>
        <v>8.375</v>
      </c>
      <c r="R394" s="21">
        <f t="shared" si="150"/>
        <v>16.75</v>
      </c>
      <c r="S394" s="21">
        <f t="shared" si="150"/>
        <v>33.5</v>
      </c>
      <c r="T394" s="21">
        <f t="shared" si="150"/>
        <v>67</v>
      </c>
      <c r="U394" s="21">
        <f t="shared" si="150"/>
        <v>134</v>
      </c>
      <c r="V394" s="21">
        <f t="shared" si="150"/>
        <v>268</v>
      </c>
      <c r="W394" s="21">
        <f t="shared" si="150"/>
        <v>536</v>
      </c>
      <c r="X394" s="21">
        <f t="shared" si="150"/>
        <v>1072</v>
      </c>
      <c r="Y394" s="21">
        <f t="shared" si="150"/>
        <v>2144</v>
      </c>
      <c r="Z394" s="21">
        <f t="shared" si="150"/>
        <v>4288</v>
      </c>
      <c r="AA394" s="21">
        <f t="shared" si="150"/>
        <v>8576</v>
      </c>
      <c r="AB394" s="21">
        <f t="shared" si="150"/>
        <v>17152</v>
      </c>
      <c r="AC394" s="21">
        <f t="shared" si="150"/>
        <v>34304</v>
      </c>
      <c r="AD394" s="21">
        <f t="shared" si="150"/>
        <v>68608</v>
      </c>
      <c r="AE394" s="21">
        <f t="shared" si="150"/>
        <v>85760</v>
      </c>
      <c r="AF394" s="21">
        <f t="shared" si="150"/>
        <v>102912</v>
      </c>
      <c r="AG394" s="21">
        <f t="shared" si="150"/>
        <v>120064</v>
      </c>
      <c r="AH394" s="21">
        <f t="shared" si="150"/>
        <v>137216</v>
      </c>
      <c r="AI394" s="21">
        <f t="shared" si="150"/>
        <v>175636.48000000001</v>
      </c>
      <c r="AJ394" s="21">
        <f t="shared" si="150"/>
        <v>205824</v>
      </c>
      <c r="AK394" s="21">
        <f t="shared" si="150"/>
        <v>240128</v>
      </c>
      <c r="AL394" s="21">
        <f t="shared" si="150"/>
        <v>274432</v>
      </c>
      <c r="AM394" s="21">
        <f t="shared" si="150"/>
        <v>329318.40000000002</v>
      </c>
      <c r="AN394" s="21">
        <f t="shared" si="150"/>
        <v>384204.80000000005</v>
      </c>
      <c r="AO394" s="21">
        <f t="shared" si="150"/>
        <v>439091.20000000001</v>
      </c>
      <c r="AP394" s="21">
        <f t="shared" si="150"/>
        <v>493977.60000000003</v>
      </c>
      <c r="AQ394" s="21">
        <f t="shared" si="150"/>
        <v>548864</v>
      </c>
      <c r="AR394" s="21">
        <f t="shared" si="150"/>
        <v>658636.80000000005</v>
      </c>
      <c r="AS394" s="21">
        <f t="shared" si="150"/>
        <v>768409.60000000009</v>
      </c>
      <c r="AT394" s="21">
        <f t="shared" si="150"/>
        <v>878182.40000000002</v>
      </c>
      <c r="AU394" s="21">
        <f t="shared" si="150"/>
        <v>987955.20000000007</v>
      </c>
      <c r="AV394" s="21">
        <f t="shared" si="150"/>
        <v>1097728</v>
      </c>
      <c r="AW394" s="21">
        <f t="shared" si="150"/>
        <v>1317273.6000000001</v>
      </c>
      <c r="AX394" s="21">
        <f t="shared" si="150"/>
        <v>1536819.2000000002</v>
      </c>
      <c r="AY394" s="21">
        <f t="shared" si="150"/>
        <v>1756364.8</v>
      </c>
      <c r="AZ394" s="21">
        <f t="shared" si="150"/>
        <v>1975910.4000000001</v>
      </c>
      <c r="BA394" s="21">
        <f t="shared" si="150"/>
        <v>2195456</v>
      </c>
      <c r="BB394" s="21">
        <f t="shared" si="150"/>
        <v>2634547.2000000002</v>
      </c>
      <c r="BC394" s="21">
        <f t="shared" si="150"/>
        <v>3073638.4000000004</v>
      </c>
      <c r="BD394" s="21">
        <f t="shared" si="150"/>
        <v>3512729.6000000001</v>
      </c>
      <c r="BE394" s="21">
        <f t="shared" si="150"/>
        <v>3951820.8000000003</v>
      </c>
      <c r="BF394" s="20">
        <f t="shared" si="150"/>
        <v>4390912</v>
      </c>
      <c r="BG394" s="21">
        <f t="shared" si="150"/>
        <v>8781824</v>
      </c>
      <c r="BH394" s="21">
        <f t="shared" si="150"/>
        <v>17563648</v>
      </c>
      <c r="BI394" s="21">
        <f t="shared" si="150"/>
        <v>35127296</v>
      </c>
      <c r="BJ394" s="21">
        <f t="shared" si="150"/>
        <v>44295777</v>
      </c>
      <c r="BK394" s="72">
        <f t="shared" si="150"/>
        <v>44295777</v>
      </c>
      <c r="BL394" s="45"/>
    </row>
    <row r="395" spans="1:64" x14ac:dyDescent="0.25">
      <c r="A395" s="48"/>
      <c r="B395" s="16"/>
      <c r="C395" s="16"/>
      <c r="D395" s="25"/>
      <c r="E395" s="46">
        <v>6.3E-2</v>
      </c>
      <c r="F395" s="16"/>
      <c r="G395" s="16"/>
      <c r="H395" s="16"/>
      <c r="I395" s="16"/>
      <c r="J395" s="16"/>
      <c r="K395" s="16"/>
      <c r="L395" s="16"/>
      <c r="M395" s="16"/>
      <c r="N395" s="16"/>
      <c r="O395" s="16"/>
      <c r="P395" s="29">
        <f t="shared" ref="P395:AP395" si="151">P394*$E$395</f>
        <v>0.26381250000000001</v>
      </c>
      <c r="Q395" s="30">
        <f t="shared" si="151"/>
        <v>0.52762500000000001</v>
      </c>
      <c r="R395" s="30">
        <f t="shared" si="151"/>
        <v>1.05525</v>
      </c>
      <c r="S395" s="30">
        <f t="shared" si="151"/>
        <v>2.1105</v>
      </c>
      <c r="T395" s="30">
        <f t="shared" si="151"/>
        <v>4.2210000000000001</v>
      </c>
      <c r="U395" s="30">
        <f t="shared" si="151"/>
        <v>8.4420000000000002</v>
      </c>
      <c r="V395" s="30">
        <f t="shared" si="151"/>
        <v>16.884</v>
      </c>
      <c r="W395" s="30">
        <f t="shared" si="151"/>
        <v>33.768000000000001</v>
      </c>
      <c r="X395" s="30">
        <f t="shared" si="151"/>
        <v>67.536000000000001</v>
      </c>
      <c r="Y395" s="30">
        <f t="shared" si="151"/>
        <v>135.072</v>
      </c>
      <c r="Z395" s="30">
        <f t="shared" si="151"/>
        <v>270.14400000000001</v>
      </c>
      <c r="AA395" s="30">
        <f t="shared" si="151"/>
        <v>540.28800000000001</v>
      </c>
      <c r="AB395" s="30">
        <f t="shared" si="151"/>
        <v>1080.576</v>
      </c>
      <c r="AC395" s="30">
        <f t="shared" si="151"/>
        <v>2161.152</v>
      </c>
      <c r="AD395" s="30">
        <f t="shared" si="151"/>
        <v>4322.3040000000001</v>
      </c>
      <c r="AE395" s="30">
        <f t="shared" ref="AE395:AG395" si="152">AE394*$E$395</f>
        <v>5402.88</v>
      </c>
      <c r="AF395" s="30">
        <f t="shared" si="152"/>
        <v>6483.4560000000001</v>
      </c>
      <c r="AG395" s="30">
        <f t="shared" si="152"/>
        <v>7564.0320000000002</v>
      </c>
      <c r="AH395" s="30">
        <f t="shared" si="151"/>
        <v>8644.6080000000002</v>
      </c>
      <c r="AI395" s="30">
        <f t="shared" ref="AI395:AK395" si="153">AI394*$E$395</f>
        <v>11065.098240000001</v>
      </c>
      <c r="AJ395" s="30">
        <f t="shared" si="153"/>
        <v>12966.912</v>
      </c>
      <c r="AK395" s="30">
        <f t="shared" si="153"/>
        <v>15128.064</v>
      </c>
      <c r="AL395" s="30">
        <f t="shared" si="151"/>
        <v>17289.216</v>
      </c>
      <c r="AM395" s="30">
        <f t="shared" si="151"/>
        <v>20747.059200000003</v>
      </c>
      <c r="AN395" s="30">
        <f t="shared" si="151"/>
        <v>24204.902400000003</v>
      </c>
      <c r="AO395" s="30">
        <f t="shared" si="151"/>
        <v>27662.745600000002</v>
      </c>
      <c r="AP395" s="30">
        <f t="shared" si="151"/>
        <v>31120.588800000001</v>
      </c>
      <c r="AQ395" s="30">
        <f>AQ394*$E$395</f>
        <v>34578.432000000001</v>
      </c>
      <c r="AR395" s="30">
        <f t="shared" ref="AR395:AU395" si="154">AR394*$E$395</f>
        <v>41494.118400000007</v>
      </c>
      <c r="AS395" s="30">
        <f t="shared" si="154"/>
        <v>48409.804800000005</v>
      </c>
      <c r="AT395" s="30">
        <f t="shared" si="154"/>
        <v>55325.491200000004</v>
      </c>
      <c r="AU395" s="30">
        <f t="shared" si="154"/>
        <v>62241.177600000003</v>
      </c>
      <c r="AV395" s="30">
        <f>AV394*$E$395</f>
        <v>69156.864000000001</v>
      </c>
      <c r="AW395" s="30">
        <f t="shared" ref="AW395:AZ395" si="155">AW394*$E$395</f>
        <v>82988.236800000013</v>
      </c>
      <c r="AX395" s="30">
        <f t="shared" si="155"/>
        <v>96819.609600000011</v>
      </c>
      <c r="AY395" s="30">
        <f t="shared" si="155"/>
        <v>110650.98240000001</v>
      </c>
      <c r="AZ395" s="30">
        <f t="shared" si="155"/>
        <v>124482.35520000001</v>
      </c>
      <c r="BA395" s="30">
        <f>BA394*$E$395</f>
        <v>138313.728</v>
      </c>
      <c r="BB395" s="30">
        <f t="shared" ref="BB395:BE395" si="156">BB394*$E$395</f>
        <v>165976.47360000003</v>
      </c>
      <c r="BC395" s="30">
        <f t="shared" si="156"/>
        <v>193639.21920000002</v>
      </c>
      <c r="BD395" s="30">
        <f t="shared" si="156"/>
        <v>221301.96480000002</v>
      </c>
      <c r="BE395" s="30">
        <f t="shared" si="156"/>
        <v>248964.71040000001</v>
      </c>
      <c r="BF395" s="29">
        <f t="shared" ref="BF395:BK395" si="157">BF394*$E$395</f>
        <v>276627.45600000001</v>
      </c>
      <c r="BG395" s="30">
        <f t="shared" si="157"/>
        <v>553254.91200000001</v>
      </c>
      <c r="BH395" s="30">
        <f t="shared" si="157"/>
        <v>1106509.824</v>
      </c>
      <c r="BI395" s="30">
        <f t="shared" si="157"/>
        <v>2213019.648</v>
      </c>
      <c r="BJ395" s="30">
        <f t="shared" si="157"/>
        <v>2790633.9509999999</v>
      </c>
      <c r="BK395" s="71">
        <f t="shared" si="157"/>
        <v>2790633.9509999999</v>
      </c>
      <c r="BL395" s="45"/>
    </row>
    <row r="396" spans="1:64" x14ac:dyDescent="0.25">
      <c r="A396" s="48" t="s">
        <v>7</v>
      </c>
      <c r="B396" s="24">
        <v>0.46</v>
      </c>
      <c r="C396" s="10">
        <f>$B$316 * B396</f>
        <v>152060130</v>
      </c>
      <c r="D396" s="47"/>
      <c r="E396" s="16"/>
      <c r="F396" s="16"/>
      <c r="G396" s="16"/>
      <c r="H396" s="16"/>
      <c r="I396" s="16"/>
      <c r="J396" s="16"/>
      <c r="K396" s="16"/>
      <c r="L396" s="16"/>
      <c r="M396" s="16"/>
      <c r="N396" s="16"/>
      <c r="O396" s="16"/>
      <c r="P396" s="20">
        <f t="shared" ref="P396:BK396" si="158">P$335*$B$396</f>
        <v>14.375</v>
      </c>
      <c r="Q396" s="21">
        <f t="shared" si="158"/>
        <v>28.75</v>
      </c>
      <c r="R396" s="21">
        <f t="shared" si="158"/>
        <v>57.5</v>
      </c>
      <c r="S396" s="21">
        <f t="shared" si="158"/>
        <v>115</v>
      </c>
      <c r="T396" s="21">
        <f t="shared" si="158"/>
        <v>230</v>
      </c>
      <c r="U396" s="21">
        <f t="shared" si="158"/>
        <v>460</v>
      </c>
      <c r="V396" s="21">
        <f t="shared" si="158"/>
        <v>920</v>
      </c>
      <c r="W396" s="21">
        <f t="shared" si="158"/>
        <v>1840</v>
      </c>
      <c r="X396" s="21">
        <f t="shared" si="158"/>
        <v>3680</v>
      </c>
      <c r="Y396" s="21">
        <f t="shared" si="158"/>
        <v>7360</v>
      </c>
      <c r="Z396" s="21">
        <f t="shared" si="158"/>
        <v>14720</v>
      </c>
      <c r="AA396" s="21">
        <f t="shared" si="158"/>
        <v>29440</v>
      </c>
      <c r="AB396" s="21">
        <f t="shared" si="158"/>
        <v>58880</v>
      </c>
      <c r="AC396" s="21">
        <f t="shared" si="158"/>
        <v>117760</v>
      </c>
      <c r="AD396" s="21">
        <f t="shared" si="158"/>
        <v>235520</v>
      </c>
      <c r="AE396" s="21">
        <f t="shared" si="158"/>
        <v>294400</v>
      </c>
      <c r="AF396" s="21">
        <f t="shared" si="158"/>
        <v>353280</v>
      </c>
      <c r="AG396" s="21">
        <f t="shared" si="158"/>
        <v>412160</v>
      </c>
      <c r="AH396" s="21">
        <f t="shared" si="158"/>
        <v>471040</v>
      </c>
      <c r="AI396" s="21">
        <f t="shared" si="158"/>
        <v>602931.20000000007</v>
      </c>
      <c r="AJ396" s="21">
        <f t="shared" si="158"/>
        <v>706560</v>
      </c>
      <c r="AK396" s="21">
        <f t="shared" si="158"/>
        <v>824320</v>
      </c>
      <c r="AL396" s="21">
        <f t="shared" si="158"/>
        <v>942080</v>
      </c>
      <c r="AM396" s="21">
        <f t="shared" si="158"/>
        <v>1130496</v>
      </c>
      <c r="AN396" s="21">
        <f t="shared" si="158"/>
        <v>1318912</v>
      </c>
      <c r="AO396" s="21">
        <f t="shared" si="158"/>
        <v>1507328</v>
      </c>
      <c r="AP396" s="21">
        <f t="shared" si="158"/>
        <v>1695744</v>
      </c>
      <c r="AQ396" s="21">
        <f t="shared" si="158"/>
        <v>1884160</v>
      </c>
      <c r="AR396" s="21">
        <f t="shared" si="158"/>
        <v>2260992</v>
      </c>
      <c r="AS396" s="21">
        <f t="shared" si="158"/>
        <v>2637824</v>
      </c>
      <c r="AT396" s="21">
        <f t="shared" si="158"/>
        <v>3014656</v>
      </c>
      <c r="AU396" s="21">
        <f t="shared" si="158"/>
        <v>3391488</v>
      </c>
      <c r="AV396" s="21">
        <f t="shared" si="158"/>
        <v>3768320</v>
      </c>
      <c r="AW396" s="21">
        <f t="shared" si="158"/>
        <v>4521984</v>
      </c>
      <c r="AX396" s="21">
        <f t="shared" si="158"/>
        <v>5275648</v>
      </c>
      <c r="AY396" s="21">
        <f t="shared" si="158"/>
        <v>6029312</v>
      </c>
      <c r="AZ396" s="21">
        <f t="shared" si="158"/>
        <v>6782976</v>
      </c>
      <c r="BA396" s="21">
        <f t="shared" si="158"/>
        <v>7536640</v>
      </c>
      <c r="BB396" s="21">
        <f t="shared" si="158"/>
        <v>9043968</v>
      </c>
      <c r="BC396" s="21">
        <f t="shared" si="158"/>
        <v>10551296</v>
      </c>
      <c r="BD396" s="21">
        <f t="shared" si="158"/>
        <v>12058624</v>
      </c>
      <c r="BE396" s="21">
        <f t="shared" si="158"/>
        <v>13565952</v>
      </c>
      <c r="BF396" s="20">
        <f t="shared" si="158"/>
        <v>15073280</v>
      </c>
      <c r="BG396" s="21">
        <f t="shared" si="158"/>
        <v>30146560</v>
      </c>
      <c r="BH396" s="21">
        <f t="shared" si="158"/>
        <v>60293120</v>
      </c>
      <c r="BI396" s="21">
        <f t="shared" si="158"/>
        <v>120586240</v>
      </c>
      <c r="BJ396" s="21">
        <f t="shared" si="158"/>
        <v>152060130</v>
      </c>
      <c r="BK396" s="72">
        <f t="shared" si="158"/>
        <v>152060130</v>
      </c>
      <c r="BL396" s="45"/>
    </row>
    <row r="397" spans="1:64" x14ac:dyDescent="0.25">
      <c r="A397" s="48"/>
      <c r="B397" s="16"/>
      <c r="C397" s="16"/>
      <c r="D397" s="25"/>
      <c r="E397" s="46">
        <v>0.06</v>
      </c>
      <c r="F397" s="16"/>
      <c r="G397" s="16"/>
      <c r="H397" s="16"/>
      <c r="I397" s="16"/>
      <c r="J397" s="16"/>
      <c r="K397" s="16"/>
      <c r="L397" s="16"/>
      <c r="M397" s="16"/>
      <c r="N397" s="16"/>
      <c r="O397" s="16"/>
      <c r="P397" s="29">
        <f t="shared" ref="P397:AP397" si="159">P396*$E$397</f>
        <v>0.86249999999999993</v>
      </c>
      <c r="Q397" s="30">
        <f t="shared" si="159"/>
        <v>1.7249999999999999</v>
      </c>
      <c r="R397" s="30">
        <f t="shared" si="159"/>
        <v>3.4499999999999997</v>
      </c>
      <c r="S397" s="30">
        <f t="shared" si="159"/>
        <v>6.8999999999999995</v>
      </c>
      <c r="T397" s="30">
        <f t="shared" si="159"/>
        <v>13.799999999999999</v>
      </c>
      <c r="U397" s="30">
        <f t="shared" si="159"/>
        <v>27.599999999999998</v>
      </c>
      <c r="V397" s="30">
        <f t="shared" si="159"/>
        <v>55.199999999999996</v>
      </c>
      <c r="W397" s="30">
        <f t="shared" si="159"/>
        <v>110.39999999999999</v>
      </c>
      <c r="X397" s="30">
        <f t="shared" si="159"/>
        <v>220.79999999999998</v>
      </c>
      <c r="Y397" s="30">
        <f t="shared" si="159"/>
        <v>441.59999999999997</v>
      </c>
      <c r="Z397" s="30">
        <f t="shared" si="159"/>
        <v>883.19999999999993</v>
      </c>
      <c r="AA397" s="30">
        <f t="shared" si="159"/>
        <v>1766.3999999999999</v>
      </c>
      <c r="AB397" s="30">
        <f t="shared" si="159"/>
        <v>3532.7999999999997</v>
      </c>
      <c r="AC397" s="30">
        <f t="shared" si="159"/>
        <v>7065.5999999999995</v>
      </c>
      <c r="AD397" s="30">
        <f t="shared" si="159"/>
        <v>14131.199999999999</v>
      </c>
      <c r="AE397" s="30">
        <f t="shared" ref="AE397:AG397" si="160">AE396*$E$397</f>
        <v>17664</v>
      </c>
      <c r="AF397" s="30">
        <f t="shared" si="160"/>
        <v>21196.799999999999</v>
      </c>
      <c r="AG397" s="30">
        <f t="shared" si="160"/>
        <v>24729.599999999999</v>
      </c>
      <c r="AH397" s="30">
        <f t="shared" si="159"/>
        <v>28262.399999999998</v>
      </c>
      <c r="AI397" s="30">
        <f t="shared" ref="AI397:AK397" si="161">AI396*$E$397</f>
        <v>36175.872000000003</v>
      </c>
      <c r="AJ397" s="30">
        <f t="shared" si="161"/>
        <v>42393.599999999999</v>
      </c>
      <c r="AK397" s="30">
        <f t="shared" si="161"/>
        <v>49459.199999999997</v>
      </c>
      <c r="AL397" s="30">
        <f t="shared" si="159"/>
        <v>56524.799999999996</v>
      </c>
      <c r="AM397" s="30">
        <f t="shared" si="159"/>
        <v>67829.759999999995</v>
      </c>
      <c r="AN397" s="30">
        <f t="shared" si="159"/>
        <v>79134.720000000001</v>
      </c>
      <c r="AO397" s="30">
        <f t="shared" si="159"/>
        <v>90439.679999999993</v>
      </c>
      <c r="AP397" s="30">
        <f t="shared" si="159"/>
        <v>101744.64</v>
      </c>
      <c r="AQ397" s="30">
        <f>AQ396*$E$397</f>
        <v>113049.59999999999</v>
      </c>
      <c r="AR397" s="30">
        <f t="shared" ref="AR397:AU397" si="162">AR396*$E$397</f>
        <v>135659.51999999999</v>
      </c>
      <c r="AS397" s="30">
        <f t="shared" si="162"/>
        <v>158269.44</v>
      </c>
      <c r="AT397" s="30">
        <f t="shared" si="162"/>
        <v>180879.35999999999</v>
      </c>
      <c r="AU397" s="30">
        <f t="shared" si="162"/>
        <v>203489.28</v>
      </c>
      <c r="AV397" s="30">
        <f>AV396*$E$397</f>
        <v>226099.19999999998</v>
      </c>
      <c r="AW397" s="30">
        <f t="shared" ref="AW397:AZ397" si="163">AW396*$E$397</f>
        <v>271319.03999999998</v>
      </c>
      <c r="AX397" s="30">
        <f t="shared" si="163"/>
        <v>316538.88</v>
      </c>
      <c r="AY397" s="30">
        <f t="shared" si="163"/>
        <v>361758.71999999997</v>
      </c>
      <c r="AZ397" s="30">
        <f t="shared" si="163"/>
        <v>406978.56</v>
      </c>
      <c r="BA397" s="30">
        <f>BA396*$E$397</f>
        <v>452198.39999999997</v>
      </c>
      <c r="BB397" s="30">
        <f t="shared" ref="BB397:BE397" si="164">BB396*$E$397</f>
        <v>542638.07999999996</v>
      </c>
      <c r="BC397" s="30">
        <f t="shared" si="164"/>
        <v>633077.76000000001</v>
      </c>
      <c r="BD397" s="30">
        <f t="shared" si="164"/>
        <v>723517.43999999994</v>
      </c>
      <c r="BE397" s="30">
        <f t="shared" si="164"/>
        <v>813957.12</v>
      </c>
      <c r="BF397" s="29">
        <f t="shared" ref="BF397:BK397" si="165">BF396*$E$397</f>
        <v>904396.79999999993</v>
      </c>
      <c r="BG397" s="30">
        <f t="shared" si="165"/>
        <v>1808793.5999999999</v>
      </c>
      <c r="BH397" s="30">
        <f t="shared" si="165"/>
        <v>3617587.1999999997</v>
      </c>
      <c r="BI397" s="30">
        <f t="shared" si="165"/>
        <v>7235174.3999999994</v>
      </c>
      <c r="BJ397" s="30">
        <f t="shared" si="165"/>
        <v>9123607.7999999989</v>
      </c>
      <c r="BK397" s="71">
        <f t="shared" si="165"/>
        <v>9123607.7999999989</v>
      </c>
      <c r="BL397" s="45"/>
    </row>
    <row r="398" spans="1:64" x14ac:dyDescent="0.25">
      <c r="A398" s="48" t="s">
        <v>8</v>
      </c>
      <c r="B398" s="24">
        <v>4.3899999999999998E-3</v>
      </c>
      <c r="C398" s="10">
        <f>$B$316 * B398</f>
        <v>1451182.5449999999</v>
      </c>
      <c r="D398" s="47"/>
      <c r="E398" s="16"/>
      <c r="F398" s="16"/>
      <c r="G398" s="16"/>
      <c r="H398" s="16"/>
      <c r="I398" s="16"/>
      <c r="J398" s="16"/>
      <c r="K398" s="16"/>
      <c r="L398" s="16"/>
      <c r="M398" s="16"/>
      <c r="N398" s="16"/>
      <c r="O398" s="16"/>
      <c r="P398" s="20">
        <f t="shared" ref="P398:BK398" si="166">P$335*$B$398</f>
        <v>0.13718749999999999</v>
      </c>
      <c r="Q398" s="21">
        <f t="shared" si="166"/>
        <v>0.27437499999999998</v>
      </c>
      <c r="R398" s="21">
        <f t="shared" si="166"/>
        <v>0.54874999999999996</v>
      </c>
      <c r="S398" s="21">
        <f t="shared" si="166"/>
        <v>1.0974999999999999</v>
      </c>
      <c r="T398" s="21">
        <f t="shared" si="166"/>
        <v>2.1949999999999998</v>
      </c>
      <c r="U398" s="21">
        <f t="shared" si="166"/>
        <v>4.3899999999999997</v>
      </c>
      <c r="V398" s="21">
        <f t="shared" si="166"/>
        <v>8.7799999999999994</v>
      </c>
      <c r="W398" s="21">
        <f t="shared" si="166"/>
        <v>17.559999999999999</v>
      </c>
      <c r="X398" s="21">
        <f t="shared" si="166"/>
        <v>35.119999999999997</v>
      </c>
      <c r="Y398" s="21">
        <f t="shared" si="166"/>
        <v>70.239999999999995</v>
      </c>
      <c r="Z398" s="21">
        <f t="shared" si="166"/>
        <v>140.47999999999999</v>
      </c>
      <c r="AA398" s="21">
        <f t="shared" si="166"/>
        <v>280.95999999999998</v>
      </c>
      <c r="AB398" s="21">
        <f t="shared" si="166"/>
        <v>561.91999999999996</v>
      </c>
      <c r="AC398" s="21">
        <f t="shared" si="166"/>
        <v>1123.8399999999999</v>
      </c>
      <c r="AD398" s="21">
        <f t="shared" si="166"/>
        <v>2247.6799999999998</v>
      </c>
      <c r="AE398" s="21">
        <f t="shared" si="166"/>
        <v>2809.6</v>
      </c>
      <c r="AF398" s="21">
        <f t="shared" si="166"/>
        <v>3371.52</v>
      </c>
      <c r="AG398" s="21">
        <f t="shared" si="166"/>
        <v>3933.4399999999996</v>
      </c>
      <c r="AH398" s="21">
        <f t="shared" si="166"/>
        <v>4495.3599999999997</v>
      </c>
      <c r="AI398" s="21">
        <f t="shared" si="166"/>
        <v>5754.0607999999993</v>
      </c>
      <c r="AJ398" s="21">
        <f t="shared" si="166"/>
        <v>6743.04</v>
      </c>
      <c r="AK398" s="21">
        <f t="shared" si="166"/>
        <v>7866.8799999999992</v>
      </c>
      <c r="AL398" s="21">
        <f t="shared" si="166"/>
        <v>8990.7199999999993</v>
      </c>
      <c r="AM398" s="21">
        <f t="shared" si="166"/>
        <v>10788.864</v>
      </c>
      <c r="AN398" s="21">
        <f t="shared" si="166"/>
        <v>12587.008</v>
      </c>
      <c r="AO398" s="21">
        <f t="shared" si="166"/>
        <v>14385.152</v>
      </c>
      <c r="AP398" s="21">
        <f t="shared" si="166"/>
        <v>16183.295999999998</v>
      </c>
      <c r="AQ398" s="21">
        <f t="shared" si="166"/>
        <v>17981.439999999999</v>
      </c>
      <c r="AR398" s="21">
        <f t="shared" si="166"/>
        <v>21577.727999999999</v>
      </c>
      <c r="AS398" s="21">
        <f t="shared" si="166"/>
        <v>25174.016</v>
      </c>
      <c r="AT398" s="21">
        <f t="shared" si="166"/>
        <v>28770.304</v>
      </c>
      <c r="AU398" s="21">
        <f t="shared" si="166"/>
        <v>32366.591999999997</v>
      </c>
      <c r="AV398" s="21">
        <f t="shared" si="166"/>
        <v>35962.879999999997</v>
      </c>
      <c r="AW398" s="21">
        <f t="shared" si="166"/>
        <v>43155.455999999998</v>
      </c>
      <c r="AX398" s="21">
        <f t="shared" si="166"/>
        <v>50348.031999999999</v>
      </c>
      <c r="AY398" s="21">
        <f t="shared" si="166"/>
        <v>57540.608</v>
      </c>
      <c r="AZ398" s="21">
        <f t="shared" si="166"/>
        <v>64733.183999999994</v>
      </c>
      <c r="BA398" s="21">
        <f t="shared" si="166"/>
        <v>71925.759999999995</v>
      </c>
      <c r="BB398" s="21">
        <f t="shared" si="166"/>
        <v>86310.911999999997</v>
      </c>
      <c r="BC398" s="21">
        <f t="shared" si="166"/>
        <v>100696.064</v>
      </c>
      <c r="BD398" s="21">
        <f t="shared" si="166"/>
        <v>115081.216</v>
      </c>
      <c r="BE398" s="21">
        <f t="shared" si="166"/>
        <v>129466.36799999999</v>
      </c>
      <c r="BF398" s="20">
        <f t="shared" si="166"/>
        <v>143851.51999999999</v>
      </c>
      <c r="BG398" s="21">
        <f t="shared" si="166"/>
        <v>287703.03999999998</v>
      </c>
      <c r="BH398" s="21">
        <f t="shared" si="166"/>
        <v>575406.07999999996</v>
      </c>
      <c r="BI398" s="21">
        <f t="shared" si="166"/>
        <v>1150812.1599999999</v>
      </c>
      <c r="BJ398" s="21">
        <f t="shared" si="166"/>
        <v>1451182.5449999999</v>
      </c>
      <c r="BK398" s="72">
        <f t="shared" si="166"/>
        <v>1451182.5449999999</v>
      </c>
      <c r="BL398" s="45"/>
    </row>
    <row r="399" spans="1:64" x14ac:dyDescent="0.25">
      <c r="A399" s="48"/>
      <c r="B399" s="16"/>
      <c r="C399" s="16"/>
      <c r="D399" s="25"/>
      <c r="E399" s="46">
        <v>5.6000000000000001E-2</v>
      </c>
      <c r="F399" s="16"/>
      <c r="G399" s="16"/>
      <c r="H399" s="16"/>
      <c r="I399" s="16"/>
      <c r="J399" s="16"/>
      <c r="K399" s="16"/>
      <c r="L399" s="16"/>
      <c r="M399" s="16"/>
      <c r="N399" s="16"/>
      <c r="O399" s="16"/>
      <c r="P399" s="29">
        <f t="shared" ref="P399:AP399" si="167">P398*$E$399</f>
        <v>7.6824999999999992E-3</v>
      </c>
      <c r="Q399" s="30">
        <f t="shared" si="167"/>
        <v>1.5364999999999998E-2</v>
      </c>
      <c r="R399" s="30">
        <f t="shared" si="167"/>
        <v>3.0729999999999997E-2</v>
      </c>
      <c r="S399" s="30">
        <f t="shared" si="167"/>
        <v>6.1459999999999994E-2</v>
      </c>
      <c r="T399" s="30">
        <f t="shared" si="167"/>
        <v>0.12291999999999999</v>
      </c>
      <c r="U399" s="30">
        <f t="shared" si="167"/>
        <v>0.24583999999999998</v>
      </c>
      <c r="V399" s="30">
        <f t="shared" si="167"/>
        <v>0.49167999999999995</v>
      </c>
      <c r="W399" s="30">
        <f t="shared" si="167"/>
        <v>0.9833599999999999</v>
      </c>
      <c r="X399" s="30">
        <f t="shared" si="167"/>
        <v>1.9667199999999998</v>
      </c>
      <c r="Y399" s="30">
        <f t="shared" si="167"/>
        <v>3.9334399999999996</v>
      </c>
      <c r="Z399" s="30">
        <f t="shared" si="167"/>
        <v>7.8668799999999992</v>
      </c>
      <c r="AA399" s="30">
        <f t="shared" si="167"/>
        <v>15.733759999999998</v>
      </c>
      <c r="AB399" s="30">
        <f t="shared" si="167"/>
        <v>31.467519999999997</v>
      </c>
      <c r="AC399" s="30">
        <f t="shared" si="167"/>
        <v>62.935039999999994</v>
      </c>
      <c r="AD399" s="30">
        <f t="shared" si="167"/>
        <v>125.87007999999999</v>
      </c>
      <c r="AE399" s="30">
        <f t="shared" ref="AE399:AG399" si="168">AE398*$E$399</f>
        <v>157.33760000000001</v>
      </c>
      <c r="AF399" s="30">
        <f t="shared" si="168"/>
        <v>188.80512000000002</v>
      </c>
      <c r="AG399" s="30">
        <f t="shared" si="168"/>
        <v>220.27264</v>
      </c>
      <c r="AH399" s="30">
        <f t="shared" si="167"/>
        <v>251.74015999999997</v>
      </c>
      <c r="AI399" s="30">
        <f t="shared" ref="AI399:AK399" si="169">AI398*$E$399</f>
        <v>322.22740479999999</v>
      </c>
      <c r="AJ399" s="30">
        <f t="shared" si="169"/>
        <v>377.61024000000003</v>
      </c>
      <c r="AK399" s="30">
        <f t="shared" si="169"/>
        <v>440.54527999999999</v>
      </c>
      <c r="AL399" s="30">
        <f t="shared" si="167"/>
        <v>503.48031999999995</v>
      </c>
      <c r="AM399" s="30">
        <f t="shared" si="167"/>
        <v>604.17638399999998</v>
      </c>
      <c r="AN399" s="30">
        <f t="shared" si="167"/>
        <v>704.87244799999996</v>
      </c>
      <c r="AO399" s="30">
        <f t="shared" si="167"/>
        <v>805.56851200000006</v>
      </c>
      <c r="AP399" s="30">
        <f t="shared" si="167"/>
        <v>906.26457599999992</v>
      </c>
      <c r="AQ399" s="30">
        <f>AQ398*$E$399</f>
        <v>1006.9606399999999</v>
      </c>
      <c r="AR399" s="30">
        <f t="shared" ref="AR399:AU399" si="170">AR398*$E$399</f>
        <v>1208.352768</v>
      </c>
      <c r="AS399" s="30">
        <f t="shared" si="170"/>
        <v>1409.7448959999999</v>
      </c>
      <c r="AT399" s="30">
        <f t="shared" si="170"/>
        <v>1611.1370240000001</v>
      </c>
      <c r="AU399" s="30">
        <f t="shared" si="170"/>
        <v>1812.5291519999998</v>
      </c>
      <c r="AV399" s="30">
        <f>AV398*$E$399</f>
        <v>2013.9212799999998</v>
      </c>
      <c r="AW399" s="30">
        <f t="shared" ref="AW399:AZ399" si="171">AW398*$E$399</f>
        <v>2416.7055359999999</v>
      </c>
      <c r="AX399" s="30">
        <f t="shared" si="171"/>
        <v>2819.4897919999999</v>
      </c>
      <c r="AY399" s="30">
        <f t="shared" si="171"/>
        <v>3222.2740480000002</v>
      </c>
      <c r="AZ399" s="30">
        <f t="shared" si="171"/>
        <v>3625.0583039999997</v>
      </c>
      <c r="BA399" s="30">
        <f>BA398*$E$399</f>
        <v>4027.8425599999996</v>
      </c>
      <c r="BB399" s="30">
        <f t="shared" ref="BB399:BE399" si="172">BB398*$E$399</f>
        <v>4833.4110719999999</v>
      </c>
      <c r="BC399" s="30">
        <f t="shared" si="172"/>
        <v>5638.9795839999997</v>
      </c>
      <c r="BD399" s="30">
        <f t="shared" si="172"/>
        <v>6444.5480960000004</v>
      </c>
      <c r="BE399" s="30">
        <f t="shared" si="172"/>
        <v>7250.1166079999994</v>
      </c>
      <c r="BF399" s="29">
        <f t="shared" ref="BF399:BK399" si="173">BF398*$E$399</f>
        <v>8055.6851199999992</v>
      </c>
      <c r="BG399" s="30">
        <f t="shared" si="173"/>
        <v>16111.370239999998</v>
      </c>
      <c r="BH399" s="30">
        <f t="shared" si="173"/>
        <v>32222.740479999997</v>
      </c>
      <c r="BI399" s="30">
        <f t="shared" si="173"/>
        <v>64445.480959999994</v>
      </c>
      <c r="BJ399" s="30">
        <f t="shared" si="173"/>
        <v>81266.222519999996</v>
      </c>
      <c r="BK399" s="71">
        <f t="shared" si="173"/>
        <v>81266.222519999996</v>
      </c>
      <c r="BL399" s="45"/>
    </row>
    <row r="400" spans="1:64" x14ac:dyDescent="0.25">
      <c r="A400" s="48" t="s">
        <v>9</v>
      </c>
      <c r="B400" s="24">
        <v>0.155</v>
      </c>
      <c r="C400" s="10">
        <f>$B$316 * B400</f>
        <v>51237652.5</v>
      </c>
      <c r="D400" s="47"/>
      <c r="E400" s="16"/>
      <c r="F400" s="16"/>
      <c r="G400" s="16"/>
      <c r="H400" s="16"/>
      <c r="I400" s="16"/>
      <c r="J400" s="16"/>
      <c r="K400" s="16"/>
      <c r="L400" s="16"/>
      <c r="M400" s="16"/>
      <c r="N400" s="16"/>
      <c r="O400" s="16"/>
      <c r="P400" s="20">
        <f t="shared" ref="P400:BK400" si="174">P$335*$B$400</f>
        <v>4.84375</v>
      </c>
      <c r="Q400" s="21">
        <f t="shared" si="174"/>
        <v>9.6875</v>
      </c>
      <c r="R400" s="21">
        <f t="shared" si="174"/>
        <v>19.375</v>
      </c>
      <c r="S400" s="21">
        <f t="shared" si="174"/>
        <v>38.75</v>
      </c>
      <c r="T400" s="21">
        <f t="shared" si="174"/>
        <v>77.5</v>
      </c>
      <c r="U400" s="21">
        <f t="shared" si="174"/>
        <v>155</v>
      </c>
      <c r="V400" s="21">
        <f t="shared" si="174"/>
        <v>310</v>
      </c>
      <c r="W400" s="21">
        <f t="shared" si="174"/>
        <v>620</v>
      </c>
      <c r="X400" s="21">
        <f t="shared" si="174"/>
        <v>1240</v>
      </c>
      <c r="Y400" s="21">
        <f t="shared" si="174"/>
        <v>2480</v>
      </c>
      <c r="Z400" s="21">
        <f t="shared" si="174"/>
        <v>4960</v>
      </c>
      <c r="AA400" s="21">
        <f t="shared" si="174"/>
        <v>9920</v>
      </c>
      <c r="AB400" s="21">
        <f t="shared" si="174"/>
        <v>19840</v>
      </c>
      <c r="AC400" s="21">
        <f t="shared" si="174"/>
        <v>39680</v>
      </c>
      <c r="AD400" s="21">
        <f t="shared" si="174"/>
        <v>79360</v>
      </c>
      <c r="AE400" s="21">
        <f t="shared" si="174"/>
        <v>99200</v>
      </c>
      <c r="AF400" s="21">
        <f t="shared" si="174"/>
        <v>119040</v>
      </c>
      <c r="AG400" s="21">
        <f t="shared" si="174"/>
        <v>138880</v>
      </c>
      <c r="AH400" s="21">
        <f t="shared" si="174"/>
        <v>158720</v>
      </c>
      <c r="AI400" s="21">
        <f t="shared" si="174"/>
        <v>203161.60000000001</v>
      </c>
      <c r="AJ400" s="21">
        <f t="shared" si="174"/>
        <v>238080</v>
      </c>
      <c r="AK400" s="21">
        <f t="shared" si="174"/>
        <v>277760</v>
      </c>
      <c r="AL400" s="21">
        <f t="shared" si="174"/>
        <v>317440</v>
      </c>
      <c r="AM400" s="21">
        <f t="shared" si="174"/>
        <v>380928</v>
      </c>
      <c r="AN400" s="21">
        <f t="shared" si="174"/>
        <v>444416</v>
      </c>
      <c r="AO400" s="21">
        <f t="shared" si="174"/>
        <v>507904</v>
      </c>
      <c r="AP400" s="21">
        <f t="shared" si="174"/>
        <v>571392</v>
      </c>
      <c r="AQ400" s="21">
        <f t="shared" si="174"/>
        <v>634880</v>
      </c>
      <c r="AR400" s="21">
        <f t="shared" si="174"/>
        <v>761856</v>
      </c>
      <c r="AS400" s="21">
        <f t="shared" si="174"/>
        <v>888832</v>
      </c>
      <c r="AT400" s="21">
        <f t="shared" si="174"/>
        <v>1015808</v>
      </c>
      <c r="AU400" s="21">
        <f t="shared" si="174"/>
        <v>1142784</v>
      </c>
      <c r="AV400" s="21">
        <f t="shared" si="174"/>
        <v>1269760</v>
      </c>
      <c r="AW400" s="21">
        <f t="shared" si="174"/>
        <v>1523712</v>
      </c>
      <c r="AX400" s="21">
        <f t="shared" si="174"/>
        <v>1777664</v>
      </c>
      <c r="AY400" s="21">
        <f t="shared" si="174"/>
        <v>2031616</v>
      </c>
      <c r="AZ400" s="21">
        <f t="shared" si="174"/>
        <v>2285568</v>
      </c>
      <c r="BA400" s="21">
        <f t="shared" si="174"/>
        <v>2539520</v>
      </c>
      <c r="BB400" s="21">
        <f t="shared" si="174"/>
        <v>3047424</v>
      </c>
      <c r="BC400" s="21">
        <f t="shared" si="174"/>
        <v>3555328</v>
      </c>
      <c r="BD400" s="21">
        <f t="shared" si="174"/>
        <v>4063232</v>
      </c>
      <c r="BE400" s="21">
        <f t="shared" si="174"/>
        <v>4571136</v>
      </c>
      <c r="BF400" s="20">
        <f t="shared" si="174"/>
        <v>5079040</v>
      </c>
      <c r="BG400" s="21">
        <f t="shared" si="174"/>
        <v>10158080</v>
      </c>
      <c r="BH400" s="21">
        <f t="shared" si="174"/>
        <v>20316160</v>
      </c>
      <c r="BI400" s="21">
        <f t="shared" si="174"/>
        <v>40632320</v>
      </c>
      <c r="BJ400" s="21">
        <f t="shared" si="174"/>
        <v>51237652.5</v>
      </c>
      <c r="BK400" s="72">
        <f t="shared" si="174"/>
        <v>51237652.5</v>
      </c>
      <c r="BL400" s="45"/>
    </row>
    <row r="401" spans="1:64" x14ac:dyDescent="0.25">
      <c r="A401" s="37"/>
      <c r="B401" s="39"/>
      <c r="C401" s="39"/>
      <c r="D401" s="55"/>
      <c r="E401" s="56" t="s">
        <v>10</v>
      </c>
      <c r="F401" s="39"/>
      <c r="G401" s="39"/>
      <c r="H401" s="39"/>
      <c r="I401" s="39"/>
      <c r="J401" s="39"/>
      <c r="K401" s="39"/>
      <c r="L401" s="39"/>
      <c r="M401" s="39"/>
      <c r="N401" s="39"/>
      <c r="O401" s="39"/>
      <c r="P401" s="31" t="s">
        <v>10</v>
      </c>
      <c r="Q401" s="32" t="s">
        <v>10</v>
      </c>
      <c r="R401" s="32" t="s">
        <v>10</v>
      </c>
      <c r="S401" s="32" t="s">
        <v>10</v>
      </c>
      <c r="T401" s="32" t="s">
        <v>10</v>
      </c>
      <c r="U401" s="32" t="s">
        <v>10</v>
      </c>
      <c r="V401" s="32" t="s">
        <v>10</v>
      </c>
      <c r="W401" s="32" t="s">
        <v>10</v>
      </c>
      <c r="X401" s="32" t="s">
        <v>10</v>
      </c>
      <c r="Y401" s="32" t="s">
        <v>10</v>
      </c>
      <c r="Z401" s="32" t="s">
        <v>10</v>
      </c>
      <c r="AA401" s="32" t="s">
        <v>10</v>
      </c>
      <c r="AB401" s="32" t="s">
        <v>10</v>
      </c>
      <c r="AC401" s="32" t="s">
        <v>10</v>
      </c>
      <c r="AD401" s="32" t="s">
        <v>10</v>
      </c>
      <c r="AE401" s="32" t="s">
        <v>10</v>
      </c>
      <c r="AF401" s="32" t="s">
        <v>10</v>
      </c>
      <c r="AG401" s="32" t="s">
        <v>10</v>
      </c>
      <c r="AH401" s="32" t="s">
        <v>10</v>
      </c>
      <c r="AI401" s="32" t="s">
        <v>10</v>
      </c>
      <c r="AJ401" s="32" t="s">
        <v>10</v>
      </c>
      <c r="AK401" s="32" t="s">
        <v>10</v>
      </c>
      <c r="AL401" s="32" t="s">
        <v>10</v>
      </c>
      <c r="AM401" s="32" t="s">
        <v>10</v>
      </c>
      <c r="AN401" s="32" t="s">
        <v>10</v>
      </c>
      <c r="AO401" s="32" t="s">
        <v>10</v>
      </c>
      <c r="AP401" s="32" t="s">
        <v>10</v>
      </c>
      <c r="AQ401" s="32" t="s">
        <v>10</v>
      </c>
      <c r="AR401" s="32" t="s">
        <v>10</v>
      </c>
      <c r="AS401" s="32" t="s">
        <v>10</v>
      </c>
      <c r="AT401" s="32" t="s">
        <v>10</v>
      </c>
      <c r="AU401" s="32" t="s">
        <v>10</v>
      </c>
      <c r="AV401" s="32" t="s">
        <v>10</v>
      </c>
      <c r="AW401" s="32" t="s">
        <v>10</v>
      </c>
      <c r="AX401" s="32" t="s">
        <v>10</v>
      </c>
      <c r="AY401" s="32" t="s">
        <v>10</v>
      </c>
      <c r="AZ401" s="32" t="s">
        <v>10</v>
      </c>
      <c r="BA401" s="32" t="s">
        <v>10</v>
      </c>
      <c r="BB401" s="32" t="s">
        <v>10</v>
      </c>
      <c r="BC401" s="32" t="s">
        <v>10</v>
      </c>
      <c r="BD401" s="32" t="s">
        <v>10</v>
      </c>
      <c r="BE401" s="32" t="s">
        <v>10</v>
      </c>
      <c r="BF401" s="29" t="s">
        <v>10</v>
      </c>
      <c r="BG401" s="30" t="s">
        <v>10</v>
      </c>
      <c r="BH401" s="30" t="s">
        <v>10</v>
      </c>
      <c r="BI401" s="30" t="s">
        <v>10</v>
      </c>
      <c r="BJ401" s="30" t="s">
        <v>10</v>
      </c>
      <c r="BK401" s="71" t="s">
        <v>10</v>
      </c>
      <c r="BL401" s="45"/>
    </row>
    <row r="402" spans="1:64" x14ac:dyDescent="0.25">
      <c r="A402" s="41"/>
      <c r="B402" s="16"/>
      <c r="C402" s="16"/>
      <c r="D402" s="47"/>
      <c r="E402" s="16"/>
      <c r="F402" s="16"/>
      <c r="G402" s="16"/>
      <c r="H402" s="16"/>
      <c r="I402" s="16"/>
      <c r="J402" s="16"/>
      <c r="K402" s="16"/>
      <c r="L402" s="16"/>
      <c r="M402" s="16"/>
      <c r="N402" s="16"/>
      <c r="O402" s="16"/>
      <c r="P402" s="20">
        <f>SUM(P390,P392,P394,P396,P398,P400)</f>
        <v>38.105937500000003</v>
      </c>
      <c r="Q402" s="21">
        <f t="shared" ref="Q402:AP402" si="175">SUM(Q390,Q392,Q394,Q396,Q398,Q400)</f>
        <v>76.211875000000006</v>
      </c>
      <c r="R402" s="21">
        <f t="shared" si="175"/>
        <v>152.42375000000001</v>
      </c>
      <c r="S402" s="21">
        <f t="shared" si="175"/>
        <v>304.84750000000003</v>
      </c>
      <c r="T402" s="21">
        <f t="shared" si="175"/>
        <v>609.69500000000005</v>
      </c>
      <c r="U402" s="21">
        <f t="shared" si="175"/>
        <v>1219.3900000000001</v>
      </c>
      <c r="V402" s="21">
        <f>SUM(V390,V392,V394,V396,V398,V400)</f>
        <v>2438.7800000000002</v>
      </c>
      <c r="W402" s="21">
        <f t="shared" si="175"/>
        <v>4877.5600000000004</v>
      </c>
      <c r="X402" s="21">
        <f t="shared" si="175"/>
        <v>9755.1200000000008</v>
      </c>
      <c r="Y402" s="21">
        <f t="shared" si="175"/>
        <v>19510.240000000002</v>
      </c>
      <c r="Z402" s="21">
        <f t="shared" si="175"/>
        <v>39020.480000000003</v>
      </c>
      <c r="AA402" s="21">
        <f t="shared" si="175"/>
        <v>78040.960000000006</v>
      </c>
      <c r="AB402" s="21">
        <f t="shared" si="175"/>
        <v>156081.92000000001</v>
      </c>
      <c r="AC402" s="21">
        <f t="shared" si="175"/>
        <v>312163.84000000003</v>
      </c>
      <c r="AD402" s="21">
        <f t="shared" si="175"/>
        <v>624327.68000000005</v>
      </c>
      <c r="AE402" s="21">
        <f t="shared" ref="AE402:AG402" si="176">SUM(AE390,AE392,AE394,AE396,AE398,AE400)</f>
        <v>780409.6</v>
      </c>
      <c r="AF402" s="21">
        <f t="shared" si="176"/>
        <v>936491.52000000002</v>
      </c>
      <c r="AG402" s="21">
        <f t="shared" si="176"/>
        <v>1092573.44</v>
      </c>
      <c r="AH402" s="21">
        <f t="shared" si="175"/>
        <v>1248655.3600000001</v>
      </c>
      <c r="AI402" s="21">
        <f t="shared" ref="AI402:AK402" si="177">SUM(AI390,AI392,AI394,AI396,AI398,AI400)</f>
        <v>1598278.8608000004</v>
      </c>
      <c r="AJ402" s="21">
        <f t="shared" si="177"/>
        <v>1872983.04</v>
      </c>
      <c r="AK402" s="21">
        <f t="shared" si="177"/>
        <v>2185146.88</v>
      </c>
      <c r="AL402" s="21">
        <f t="shared" si="175"/>
        <v>2497310.7200000002</v>
      </c>
      <c r="AM402" s="21">
        <f t="shared" si="175"/>
        <v>2996772.8640000001</v>
      </c>
      <c r="AN402" s="21">
        <f t="shared" si="175"/>
        <v>3496235.0079999999</v>
      </c>
      <c r="AO402" s="21">
        <f t="shared" si="175"/>
        <v>3995697.1519999998</v>
      </c>
      <c r="AP402" s="21">
        <f t="shared" si="175"/>
        <v>4495159.2960000001</v>
      </c>
      <c r="AQ402" s="21">
        <f t="shared" ref="AQ402:BA403" si="178">SUM(AQ390,AQ392,AQ394,AQ396,AQ398,AQ400)</f>
        <v>4994621.4400000004</v>
      </c>
      <c r="AR402" s="21">
        <f t="shared" ref="AR402:AU402" si="179">SUM(AR390,AR392,AR394,AR396,AR398,AR400)</f>
        <v>5993545.7280000001</v>
      </c>
      <c r="AS402" s="21">
        <f t="shared" si="179"/>
        <v>6992470.0159999998</v>
      </c>
      <c r="AT402" s="21">
        <f t="shared" si="179"/>
        <v>7991394.3039999995</v>
      </c>
      <c r="AU402" s="21">
        <f t="shared" si="179"/>
        <v>8990318.5920000002</v>
      </c>
      <c r="AV402" s="21">
        <f t="shared" si="178"/>
        <v>9989242.8800000008</v>
      </c>
      <c r="AW402" s="21">
        <f t="shared" ref="AW402:AZ402" si="180">SUM(AW390,AW392,AW394,AW396,AW398,AW400)</f>
        <v>11987091.456</v>
      </c>
      <c r="AX402" s="21">
        <f t="shared" si="180"/>
        <v>13984940.032</v>
      </c>
      <c r="AY402" s="21">
        <f t="shared" si="180"/>
        <v>15982788.607999999</v>
      </c>
      <c r="AZ402" s="21">
        <f t="shared" si="180"/>
        <v>17980637.184</v>
      </c>
      <c r="BA402" s="21">
        <f t="shared" si="178"/>
        <v>19978485.760000002</v>
      </c>
      <c r="BB402" s="21">
        <f t="shared" ref="BB402:BE402" si="181">SUM(BB390,BB392,BB394,BB396,BB398,BB400)</f>
        <v>23974182.912</v>
      </c>
      <c r="BC402" s="21">
        <f t="shared" si="181"/>
        <v>27969880.063999999</v>
      </c>
      <c r="BD402" s="21">
        <f t="shared" si="181"/>
        <v>31965577.215999998</v>
      </c>
      <c r="BE402" s="21">
        <f t="shared" si="181"/>
        <v>35961274.368000001</v>
      </c>
      <c r="BF402" s="18">
        <f t="shared" ref="BF402:BK402" si="182">SUM(BF390,BF392,BF394,BF396,BF398,BF400)</f>
        <v>39956971.520000003</v>
      </c>
      <c r="BG402" s="19">
        <f t="shared" si="182"/>
        <v>79913943.040000007</v>
      </c>
      <c r="BH402" s="19">
        <f t="shared" si="182"/>
        <v>159827886.08000001</v>
      </c>
      <c r="BI402" s="19">
        <f t="shared" si="182"/>
        <v>319655772.16000003</v>
      </c>
      <c r="BJ402" s="19">
        <f t="shared" si="182"/>
        <v>403088265.04500002</v>
      </c>
      <c r="BK402" s="60">
        <f t="shared" si="182"/>
        <v>403088265.04500002</v>
      </c>
      <c r="BL402" s="45"/>
    </row>
    <row r="403" spans="1:64" x14ac:dyDescent="0.25">
      <c r="A403" s="37" t="s">
        <v>40</v>
      </c>
      <c r="B403" s="39"/>
      <c r="C403" s="39"/>
      <c r="D403" s="39"/>
      <c r="E403" s="39"/>
      <c r="F403" s="39"/>
      <c r="G403" s="39"/>
      <c r="H403" s="39"/>
      <c r="I403" s="39"/>
      <c r="J403" s="39"/>
      <c r="K403" s="39"/>
      <c r="L403" s="39"/>
      <c r="M403" s="39"/>
      <c r="N403" s="39"/>
      <c r="O403" s="39"/>
      <c r="P403" s="31">
        <f>SUM(P391,P393,P395,P397,P399,P401)</f>
        <v>2.5650575</v>
      </c>
      <c r="Q403" s="32">
        <f t="shared" ref="Q403:AP403" si="183">SUM(Q391,Q393,Q395,Q397,Q399,Q401)</f>
        <v>5.130115</v>
      </c>
      <c r="R403" s="32">
        <f t="shared" si="183"/>
        <v>10.26023</v>
      </c>
      <c r="S403" s="32">
        <f t="shared" si="183"/>
        <v>20.52046</v>
      </c>
      <c r="T403" s="32">
        <f t="shared" si="183"/>
        <v>41.04092</v>
      </c>
      <c r="U403" s="32">
        <f t="shared" si="183"/>
        <v>82.08184</v>
      </c>
      <c r="V403" s="32">
        <f t="shared" si="183"/>
        <v>164.16368</v>
      </c>
      <c r="W403" s="32">
        <f t="shared" si="183"/>
        <v>328.32736</v>
      </c>
      <c r="X403" s="32">
        <f t="shared" si="183"/>
        <v>656.65472</v>
      </c>
      <c r="Y403" s="32">
        <f t="shared" si="183"/>
        <v>1313.30944</v>
      </c>
      <c r="Z403" s="32">
        <f t="shared" si="183"/>
        <v>2626.61888</v>
      </c>
      <c r="AA403" s="32">
        <f t="shared" si="183"/>
        <v>5253.23776</v>
      </c>
      <c r="AB403" s="32">
        <f t="shared" si="183"/>
        <v>10506.47552</v>
      </c>
      <c r="AC403" s="32">
        <f t="shared" si="183"/>
        <v>21012.95104</v>
      </c>
      <c r="AD403" s="32">
        <f t="shared" si="183"/>
        <v>42025.90208</v>
      </c>
      <c r="AE403" s="32">
        <f t="shared" ref="AE403:AG403" si="184">SUM(AE391,AE393,AE395,AE397,AE399,AE401)</f>
        <v>52532.377599999993</v>
      </c>
      <c r="AF403" s="32">
        <f t="shared" si="184"/>
        <v>63038.853119999992</v>
      </c>
      <c r="AG403" s="32">
        <f t="shared" si="184"/>
        <v>73545.328639999992</v>
      </c>
      <c r="AH403" s="32">
        <f t="shared" si="183"/>
        <v>84051.80416</v>
      </c>
      <c r="AI403" s="32">
        <f t="shared" ref="AI403:AK403" si="185">SUM(AI391,AI393,AI395,AI397,AI399,AI401)</f>
        <v>107586.30932479999</v>
      </c>
      <c r="AJ403" s="32">
        <f t="shared" si="185"/>
        <v>126077.70623999998</v>
      </c>
      <c r="AK403" s="32">
        <f t="shared" si="185"/>
        <v>147090.65727999998</v>
      </c>
      <c r="AL403" s="32">
        <f t="shared" si="183"/>
        <v>168103.60832</v>
      </c>
      <c r="AM403" s="32">
        <f t="shared" si="183"/>
        <v>201724.32998400001</v>
      </c>
      <c r="AN403" s="32">
        <f t="shared" si="183"/>
        <v>235345.05164800002</v>
      </c>
      <c r="AO403" s="32">
        <f t="shared" si="183"/>
        <v>268965.77331199998</v>
      </c>
      <c r="AP403" s="32">
        <f t="shared" si="183"/>
        <v>302586.49497599999</v>
      </c>
      <c r="AQ403" s="32">
        <f t="shared" si="178"/>
        <v>336207.21664</v>
      </c>
      <c r="AR403" s="32">
        <f t="shared" ref="AR403:AU403" si="186">SUM(AR391,AR393,AR395,AR397,AR399,AR401)</f>
        <v>403448.65996800002</v>
      </c>
      <c r="AS403" s="32">
        <f t="shared" si="186"/>
        <v>470690.10329600004</v>
      </c>
      <c r="AT403" s="32">
        <f t="shared" si="186"/>
        <v>537931.54662399995</v>
      </c>
      <c r="AU403" s="32">
        <f t="shared" si="186"/>
        <v>605172.98995199997</v>
      </c>
      <c r="AV403" s="32">
        <f t="shared" si="178"/>
        <v>672414.43328</v>
      </c>
      <c r="AW403" s="32">
        <f t="shared" ref="AW403:AZ403" si="187">SUM(AW391,AW393,AW395,AW397,AW399,AW401)</f>
        <v>806897.31993600004</v>
      </c>
      <c r="AX403" s="32">
        <f t="shared" si="187"/>
        <v>941380.20659200009</v>
      </c>
      <c r="AY403" s="32">
        <f t="shared" si="187"/>
        <v>1075863.0932479999</v>
      </c>
      <c r="AZ403" s="32">
        <f t="shared" si="187"/>
        <v>1210345.9799039999</v>
      </c>
      <c r="BA403" s="32">
        <f t="shared" si="178"/>
        <v>1344828.86656</v>
      </c>
      <c r="BB403" s="32">
        <f t="shared" ref="BB403:BE403" si="188">SUM(BB391,BB393,BB395,BB397,BB399,BB401)</f>
        <v>1613794.6398720001</v>
      </c>
      <c r="BC403" s="32">
        <f t="shared" si="188"/>
        <v>1882760.4131840002</v>
      </c>
      <c r="BD403" s="32">
        <f t="shared" si="188"/>
        <v>2151726.1864959998</v>
      </c>
      <c r="BE403" s="32">
        <f t="shared" si="188"/>
        <v>2420691.9598079999</v>
      </c>
      <c r="BF403" s="31">
        <f t="shared" ref="BF403:BK403" si="189">SUM(BF391,BF393,BF395,BF397,BF399,BF401)</f>
        <v>2689657.73312</v>
      </c>
      <c r="BG403" s="32">
        <f t="shared" si="189"/>
        <v>5379315.46624</v>
      </c>
      <c r="BH403" s="32">
        <f t="shared" si="189"/>
        <v>10758630.93248</v>
      </c>
      <c r="BI403" s="32">
        <f t="shared" si="189"/>
        <v>21517261.86496</v>
      </c>
      <c r="BJ403" s="32">
        <f t="shared" si="189"/>
        <v>27133424.480520003</v>
      </c>
      <c r="BK403" s="73">
        <f t="shared" si="189"/>
        <v>27133424.480520003</v>
      </c>
      <c r="BL403" s="45"/>
    </row>
  </sheetData>
  <conditionalFormatting sqref="BL346 P346:BA346 BG346:BJ346">
    <cfRule type="cellIs" dxfId="29" priority="39" operator="greaterThan">
      <formula>$C$324</formula>
    </cfRule>
  </conditionalFormatting>
  <conditionalFormatting sqref="P348:BA348 BG348:BJ348">
    <cfRule type="cellIs" dxfId="28" priority="38" operator="greaterThan">
      <formula>$C$325</formula>
    </cfRule>
  </conditionalFormatting>
  <conditionalFormatting sqref="P367:BK367">
    <cfRule type="cellIs" dxfId="27" priority="37" operator="greaterThan">
      <formula>$C$367</formula>
    </cfRule>
  </conditionalFormatting>
  <conditionalFormatting sqref="P369:BK369">
    <cfRule type="cellIs" dxfId="26" priority="36" operator="greaterThan">
      <formula>$C$369</formula>
    </cfRule>
  </conditionalFormatting>
  <conditionalFormatting sqref="P371:BK371">
    <cfRule type="cellIs" dxfId="25" priority="35" operator="greaterThan">
      <formula>$C$371</formula>
    </cfRule>
  </conditionalFormatting>
  <conditionalFormatting sqref="P373:BK373">
    <cfRule type="cellIs" dxfId="24" priority="27" operator="greaterThan">
      <formula>$C$373</formula>
    </cfRule>
  </conditionalFormatting>
  <conditionalFormatting sqref="P375:BK375">
    <cfRule type="cellIs" dxfId="23" priority="26" operator="greaterThan">
      <formula>$C$375</formula>
    </cfRule>
  </conditionalFormatting>
  <conditionalFormatting sqref="P377:BK377">
    <cfRule type="cellIs" dxfId="22" priority="25" operator="greaterThan">
      <formula>$C$377</formula>
    </cfRule>
  </conditionalFormatting>
  <conditionalFormatting sqref="P379:BK379">
    <cfRule type="cellIs" dxfId="21" priority="24" operator="greaterThan">
      <formula>$C$379</formula>
    </cfRule>
  </conditionalFormatting>
  <conditionalFormatting sqref="P381:BK381">
    <cfRule type="cellIs" dxfId="20" priority="23" operator="greaterThan">
      <formula>$C$381</formula>
    </cfRule>
  </conditionalFormatting>
  <conditionalFormatting sqref="P383:BK383">
    <cfRule type="cellIs" dxfId="19" priority="22" operator="greaterThan">
      <formula>$C$383</formula>
    </cfRule>
  </conditionalFormatting>
  <conditionalFormatting sqref="P337:BA337 BG337:BK337">
    <cfRule type="cellIs" dxfId="18" priority="21" operator="equal">
      <formula>0</formula>
    </cfRule>
  </conditionalFormatting>
  <conditionalFormatting sqref="P344:BA344 P346:BA346 Q348:BA348 BG348:BJ348 BG346:BJ346 BG344:BJ344">
    <cfRule type="cellIs" dxfId="17" priority="20" operator="equal">
      <formula>0</formula>
    </cfRule>
  </conditionalFormatting>
  <conditionalFormatting sqref="D367">
    <cfRule type="cellIs" dxfId="16" priority="17" operator="greaterThan">
      <formula>$B$367</formula>
    </cfRule>
  </conditionalFormatting>
  <conditionalFormatting sqref="D369">
    <cfRule type="cellIs" dxfId="15" priority="16" operator="greaterThan">
      <formula>$B$369</formula>
    </cfRule>
  </conditionalFormatting>
  <conditionalFormatting sqref="D371">
    <cfRule type="cellIs" dxfId="14" priority="15" operator="greaterThan">
      <formula>$B$371</formula>
    </cfRule>
  </conditionalFormatting>
  <conditionalFormatting sqref="D373">
    <cfRule type="cellIs" dxfId="13" priority="14" operator="greaterThan">
      <formula>$B$373</formula>
    </cfRule>
  </conditionalFormatting>
  <conditionalFormatting sqref="D375">
    <cfRule type="cellIs" dxfId="12" priority="13" operator="greaterThan">
      <formula>$B$375</formula>
    </cfRule>
  </conditionalFormatting>
  <conditionalFormatting sqref="D377">
    <cfRule type="cellIs" dxfId="11" priority="12" operator="greaterThan">
      <formula>$B$377</formula>
    </cfRule>
  </conditionalFormatting>
  <conditionalFormatting sqref="D379">
    <cfRule type="cellIs" dxfId="10" priority="11" operator="greaterThan">
      <formula>$B$379</formula>
    </cfRule>
  </conditionalFormatting>
  <conditionalFormatting sqref="D381">
    <cfRule type="cellIs" dxfId="9" priority="10" operator="greaterThan">
      <formula>$B$381</formula>
    </cfRule>
  </conditionalFormatting>
  <conditionalFormatting sqref="D383">
    <cfRule type="cellIs" dxfId="8" priority="9" operator="greaterThan">
      <formula>$B$383</formula>
    </cfRule>
  </conditionalFormatting>
  <conditionalFormatting sqref="BF346">
    <cfRule type="cellIs" dxfId="7" priority="8" operator="greaterThan">
      <formula>$C$324</formula>
    </cfRule>
  </conditionalFormatting>
  <conditionalFormatting sqref="BF348">
    <cfRule type="cellIs" dxfId="6" priority="7" operator="greaterThan">
      <formula>$C$325</formula>
    </cfRule>
  </conditionalFormatting>
  <conditionalFormatting sqref="BF337">
    <cfRule type="cellIs" dxfId="5" priority="6" operator="equal">
      <formula>0</formula>
    </cfRule>
  </conditionalFormatting>
  <conditionalFormatting sqref="BF344 BF346 BF348">
    <cfRule type="cellIs" dxfId="4" priority="5" operator="equal">
      <formula>0</formula>
    </cfRule>
  </conditionalFormatting>
  <conditionalFormatting sqref="BB346:BE346">
    <cfRule type="cellIs" dxfId="3" priority="4" operator="greaterThan">
      <formula>$C$324</formula>
    </cfRule>
  </conditionalFormatting>
  <conditionalFormatting sqref="BB348:BE348">
    <cfRule type="cellIs" dxfId="2" priority="3" operator="greaterThan">
      <formula>$C$325</formula>
    </cfRule>
  </conditionalFormatting>
  <conditionalFormatting sqref="BB337:BE337">
    <cfRule type="cellIs" dxfId="1" priority="2" operator="equal">
      <formula>0</formula>
    </cfRule>
  </conditionalFormatting>
  <conditionalFormatting sqref="BB344:BE344 BB346:BE346 BB348:BE348">
    <cfRule type="cellIs" dxfId="0" priority="1" operator="equal">
      <formula>0</formula>
    </cfRule>
  </conditionalFormatting>
  <hyperlinks>
    <hyperlink ref="E366" r:id="rId1" location="case-fatality-rate-of-covid-19-by-age" xr:uid="{0058192C-B05A-45D2-8597-C1F9B3D9241E}"/>
    <hyperlink ref="E389" r:id="rId2" location="case-fatality-rate-of-covid-19-by-preexisting-health-conditions" xr:uid="{110A2613-24A6-4768-B90C-571B307D13E2}"/>
    <hyperlink ref="B322" r:id="rId3" display="https://cmmid.github.io/topics/covid19/severity/global_cfr_estimates.html" xr:uid="{478D393B-144B-447C-BE80-8DB4A6AAAE87}"/>
    <hyperlink ref="A319" r:id="rId4" xr:uid="{F8C3DB32-759B-4C5A-975C-9AA8316EE6B0}"/>
  </hyperlinks>
  <pageMargins left="0.7" right="0.7" top="0.75" bottom="0.75" header="0.3" footer="0.3"/>
  <pageSetup paperSize="9" orientation="portrait" horizontalDpi="0" verticalDpi="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9" t="s">
        <v>115</v>
      </c>
      <c r="C3" s="163">
        <f>Projections!B316</f>
        <v>330565500</v>
      </c>
      <c r="J3" s="2"/>
    </row>
    <row r="4" spans="2:10" x14ac:dyDescent="0.25">
      <c r="B4" s="180" t="s">
        <v>132</v>
      </c>
      <c r="C4" s="163">
        <f>Projections!P335</f>
        <v>31.25</v>
      </c>
      <c r="J4" s="2"/>
    </row>
    <row r="5" spans="2:10" x14ac:dyDescent="0.25">
      <c r="B5" s="180" t="s">
        <v>133</v>
      </c>
      <c r="C5" s="161">
        <f>Projections!P334</f>
        <v>43882</v>
      </c>
      <c r="J5" s="2"/>
    </row>
    <row r="6" spans="2:10" x14ac:dyDescent="0.25">
      <c r="B6" s="180" t="s">
        <v>116</v>
      </c>
      <c r="C6" s="163">
        <v>2890588</v>
      </c>
    </row>
    <row r="7" spans="2:10" x14ac:dyDescent="0.25">
      <c r="B7" s="180" t="s">
        <v>118</v>
      </c>
      <c r="C7" s="161">
        <f ca="1">NOW()</f>
        <v>44016.887101388886</v>
      </c>
    </row>
    <row r="8" spans="2:10" x14ac:dyDescent="0.25">
      <c r="B8" s="180" t="s">
        <v>134</v>
      </c>
      <c r="C8" s="162">
        <f ca="1">C7-C5</f>
        <v>134.88710138888564</v>
      </c>
    </row>
    <row r="9" spans="2:10" x14ac:dyDescent="0.25">
      <c r="B9" s="180" t="s">
        <v>117</v>
      </c>
      <c r="C9" s="164">
        <f ca="1">C8/(LOG(C6/C4)/LOG(2))</f>
        <v>8.1763894757827185</v>
      </c>
      <c r="D9" t="s">
        <v>97</v>
      </c>
      <c r="F9" t="s">
        <v>135</v>
      </c>
    </row>
    <row r="10" spans="2:10" x14ac:dyDescent="0.25">
      <c r="B10" s="180" t="s">
        <v>122</v>
      </c>
      <c r="C10" s="163">
        <f>Projections!C324</f>
        <v>793357.2</v>
      </c>
    </row>
    <row r="11" spans="2:10" x14ac:dyDescent="0.25">
      <c r="B11" s="181" t="s">
        <v>123</v>
      </c>
      <c r="C11" s="168">
        <f>Projections!C325</f>
        <v>114706.22850000001</v>
      </c>
    </row>
    <row r="12" spans="2:10" s="69" customFormat="1" x14ac:dyDescent="0.25">
      <c r="B12" s="62" t="s">
        <v>163</v>
      </c>
      <c r="C12" s="169">
        <f>C6/Projections!B322</f>
        <v>9497646.2857142854</v>
      </c>
    </row>
    <row r="13" spans="2:10" s="69" customFormat="1" x14ac:dyDescent="0.25">
      <c r="B13" s="48" t="s">
        <v>164</v>
      </c>
      <c r="C13" s="170">
        <f ca="1">(C4/Projections!B322)*(2^(((C7-21)-C5)/C9))</f>
        <v>1601250.7267296412</v>
      </c>
    </row>
    <row r="14" spans="2:10" s="69" customFormat="1" x14ac:dyDescent="0.25">
      <c r="B14" s="49" t="s">
        <v>165</v>
      </c>
      <c r="C14" s="151">
        <f ca="1">C12-C13</f>
        <v>7896395.5589846447</v>
      </c>
      <c r="E14" s="166"/>
      <c r="F14" s="167" t="s">
        <v>139</v>
      </c>
      <c r="G14" s="165"/>
    </row>
    <row r="15" spans="2:10" x14ac:dyDescent="0.25">
      <c r="B15" s="4" t="s">
        <v>136</v>
      </c>
      <c r="C15" s="64">
        <f>C6*Projections!B327</f>
        <v>2341376.2800000003</v>
      </c>
      <c r="I15" s="160"/>
    </row>
    <row r="16" spans="2:10" x14ac:dyDescent="0.25">
      <c r="B16" s="41" t="s">
        <v>146</v>
      </c>
      <c r="C16" s="83">
        <f ca="1">(C4*Projections!B327)*(2^(((C7-21)-C5)/C9))</f>
        <v>394743.11393726378</v>
      </c>
      <c r="I16" s="160"/>
    </row>
    <row r="17" spans="2:9" x14ac:dyDescent="0.25">
      <c r="B17" s="41" t="s">
        <v>137</v>
      </c>
      <c r="C17" s="83">
        <f ca="1">C15-C16</f>
        <v>1946633.1660627364</v>
      </c>
      <c r="F17" t="s">
        <v>140</v>
      </c>
      <c r="I17" s="160"/>
    </row>
    <row r="18" spans="2:9" x14ac:dyDescent="0.25">
      <c r="B18" s="4" t="s">
        <v>142</v>
      </c>
      <c r="C18" s="64">
        <f>C6*Projections!B328</f>
        <v>404682.32000000007</v>
      </c>
    </row>
    <row r="19" spans="2:9" x14ac:dyDescent="0.25">
      <c r="B19" s="41" t="s">
        <v>147</v>
      </c>
      <c r="C19" s="83">
        <f ca="1">(C4*Projections!B328)*(2^(((C7-49)-C5)/C9))</f>
        <v>6354.5096582230954</v>
      </c>
    </row>
    <row r="20" spans="2:9" x14ac:dyDescent="0.25">
      <c r="B20" s="41" t="s">
        <v>141</v>
      </c>
      <c r="C20" s="83">
        <f ca="1">C18-C19</f>
        <v>398327.81034177699</v>
      </c>
      <c r="F20" t="s">
        <v>145</v>
      </c>
    </row>
    <row r="21" spans="2:9" x14ac:dyDescent="0.25">
      <c r="B21" s="4" t="s">
        <v>143</v>
      </c>
      <c r="C21" s="64">
        <f>C6*Projections!B329</f>
        <v>144529.4</v>
      </c>
      <c r="I21" s="160"/>
    </row>
    <row r="22" spans="2:9" x14ac:dyDescent="0.25">
      <c r="B22" s="41" t="s">
        <v>148</v>
      </c>
      <c r="C22" s="83">
        <f ca="1">(C4*Projections!B329)*(2^(((C7-49)-C5)/C9))</f>
        <v>2269.4677350796769</v>
      </c>
      <c r="I22" s="160"/>
    </row>
    <row r="23" spans="2:9" x14ac:dyDescent="0.25">
      <c r="B23" s="41" t="s">
        <v>144</v>
      </c>
      <c r="C23" s="83">
        <f ca="1">C21-C22</f>
        <v>142259.93226492032</v>
      </c>
      <c r="I23" s="160"/>
    </row>
    <row r="24" spans="2:9" x14ac:dyDescent="0.25">
      <c r="B24" s="4" t="s">
        <v>149</v>
      </c>
      <c r="C24" s="64">
        <f>C6*Projections!B330</f>
        <v>132967.04800000001</v>
      </c>
    </row>
    <row r="25" spans="2:9" x14ac:dyDescent="0.25">
      <c r="B25" s="37" t="s">
        <v>150</v>
      </c>
      <c r="C25" s="61">
        <f ca="1">(C4*Projections!B330)*(2^(((C7-42)-C5)/C9))</f>
        <v>3779.4684470323368</v>
      </c>
      <c r="F25" t="s">
        <v>151</v>
      </c>
    </row>
    <row r="26" spans="2:9" x14ac:dyDescent="0.25">
      <c r="B26" s="41" t="s">
        <v>127</v>
      </c>
      <c r="C26" s="173">
        <f ca="1">C9*(LOG(C10/C21)/LOG(2))</f>
        <v>20.086180324247547</v>
      </c>
      <c r="D26" t="s">
        <v>97</v>
      </c>
      <c r="F26" s="69" t="s">
        <v>152</v>
      </c>
    </row>
    <row r="27" spans="2:9" x14ac:dyDescent="0.25">
      <c r="B27" s="37" t="s">
        <v>124</v>
      </c>
      <c r="C27" s="172">
        <f ca="1">C7+C26</f>
        <v>44036.97328171313</v>
      </c>
      <c r="F27" t="s">
        <v>153</v>
      </c>
    </row>
    <row r="28" spans="2:9" x14ac:dyDescent="0.25">
      <c r="B28" s="4" t="s">
        <v>128</v>
      </c>
      <c r="C28" s="171">
        <f ca="1">C9*(LOG(C11/C21)/LOG(2))</f>
        <v>-2.7261657504534158</v>
      </c>
      <c r="D28" t="s">
        <v>97</v>
      </c>
    </row>
    <row r="29" spans="2:9" x14ac:dyDescent="0.25">
      <c r="B29" s="37" t="s">
        <v>125</v>
      </c>
      <c r="C29" s="172">
        <f ca="1">C7+C28</f>
        <v>44014.160935638429</v>
      </c>
      <c r="F29" t="s">
        <v>153</v>
      </c>
    </row>
    <row r="30" spans="2:9" x14ac:dyDescent="0.25">
      <c r="B30" s="4" t="s">
        <v>129</v>
      </c>
      <c r="C30" s="171">
        <f ca="1">C9*(LOG((C3*0.6)/C12)/LOG(2))</f>
        <v>35.847390594530282</v>
      </c>
      <c r="D30" t="s">
        <v>97</v>
      </c>
    </row>
    <row r="31" spans="2:9" x14ac:dyDescent="0.25">
      <c r="B31" s="37" t="s">
        <v>126</v>
      </c>
      <c r="C31" s="172">
        <f ca="1">C7+C30</f>
        <v>44052.734491983414</v>
      </c>
    </row>
    <row r="34" spans="2:6" x14ac:dyDescent="0.25">
      <c r="B34" s="4" t="s">
        <v>130</v>
      </c>
      <c r="C34" s="161">
        <f ca="1">C7+30</f>
        <v>44046.887101388886</v>
      </c>
      <c r="F34" t="s">
        <v>166</v>
      </c>
    </row>
    <row r="35" spans="2:6" x14ac:dyDescent="0.25">
      <c r="B35" s="41" t="s">
        <v>131</v>
      </c>
      <c r="C35" s="83">
        <f ca="1">C6*(2^((C34-C7)/C9))</f>
        <v>36770175.070628129</v>
      </c>
      <c r="F35" t="s">
        <v>138</v>
      </c>
    </row>
    <row r="36" spans="2:6" x14ac:dyDescent="0.25">
      <c r="B36" s="41" t="s">
        <v>185</v>
      </c>
      <c r="C36" s="83">
        <f ca="1">C35/Projections!B322</f>
        <v>120816289.51777813</v>
      </c>
    </row>
    <row r="37" spans="2:6" x14ac:dyDescent="0.25">
      <c r="B37" s="41" t="s">
        <v>73</v>
      </c>
      <c r="C37" s="83">
        <f ca="1">C35*Projections!B327</f>
        <v>29783841.807208788</v>
      </c>
    </row>
    <row r="38" spans="2:6" x14ac:dyDescent="0.25">
      <c r="B38" s="41" t="s">
        <v>119</v>
      </c>
      <c r="C38" s="83">
        <f ca="1">C35*Projections!B328</f>
        <v>5147824.5098879384</v>
      </c>
    </row>
    <row r="39" spans="2:6" x14ac:dyDescent="0.25">
      <c r="B39" s="41" t="s">
        <v>120</v>
      </c>
      <c r="C39" s="83">
        <f ca="1">C35*Projections!B329</f>
        <v>1838508.7535314066</v>
      </c>
    </row>
    <row r="40" spans="2:6" x14ac:dyDescent="0.25">
      <c r="B40" s="37" t="s">
        <v>121</v>
      </c>
      <c r="C40" s="61">
        <f ca="1">C35*Projections!B330</f>
        <v>1691428.0532488939</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364" t="s">
        <v>180</v>
      </c>
      <c r="B2" s="225"/>
      <c r="C2" s="76"/>
    </row>
    <row r="3" spans="1:4" x14ac:dyDescent="0.25">
      <c r="A3" s="364"/>
      <c r="B3" s="225" t="s">
        <v>181</v>
      </c>
      <c r="C3" s="76"/>
    </row>
    <row r="4" spans="1:4" x14ac:dyDescent="0.25">
      <c r="A4" s="363" t="s">
        <v>47</v>
      </c>
      <c r="B4" s="228">
        <v>308745538</v>
      </c>
      <c r="C4" s="76"/>
    </row>
    <row r="5" spans="1:4" x14ac:dyDescent="0.25">
      <c r="A5" s="363"/>
      <c r="B5" s="226">
        <v>1</v>
      </c>
      <c r="C5" s="76"/>
    </row>
    <row r="6" spans="1:4" x14ac:dyDescent="0.25">
      <c r="A6" s="363" t="s">
        <v>21</v>
      </c>
      <c r="B6" s="228">
        <v>20201362</v>
      </c>
      <c r="C6" s="76"/>
    </row>
    <row r="7" spans="1:4" x14ac:dyDescent="0.25">
      <c r="A7" s="363"/>
      <c r="B7" s="227">
        <f>B6/$B$4</f>
        <v>6.5430458139932701E-2</v>
      </c>
      <c r="C7" s="77"/>
    </row>
    <row r="8" spans="1:4" x14ac:dyDescent="0.25">
      <c r="A8" s="363" t="s">
        <v>22</v>
      </c>
      <c r="B8" s="228">
        <v>20348657</v>
      </c>
      <c r="C8" s="76"/>
    </row>
    <row r="9" spans="1:4" x14ac:dyDescent="0.25">
      <c r="A9" s="363"/>
      <c r="B9" s="227">
        <f>B8/$B$4</f>
        <v>6.590753386045696E-2</v>
      </c>
      <c r="C9" s="228">
        <f>B6+B8</f>
        <v>40550019</v>
      </c>
      <c r="D9" s="1">
        <f>C9/$B$4</f>
        <v>0.13133799200038965</v>
      </c>
    </row>
    <row r="10" spans="1:4" x14ac:dyDescent="0.25">
      <c r="A10" s="363" t="s">
        <v>23</v>
      </c>
      <c r="B10" s="228">
        <v>20677194</v>
      </c>
      <c r="C10" s="76"/>
    </row>
    <row r="11" spans="1:4" x14ac:dyDescent="0.25">
      <c r="A11" s="363"/>
      <c r="B11" s="227">
        <f>B10/$B$4</f>
        <v>6.6971636688074182E-2</v>
      </c>
      <c r="C11" s="76"/>
    </row>
    <row r="12" spans="1:4" x14ac:dyDescent="0.25">
      <c r="A12" s="363" t="s">
        <v>24</v>
      </c>
      <c r="B12" s="228">
        <v>22040343</v>
      </c>
      <c r="C12" s="76"/>
    </row>
    <row r="13" spans="1:4" x14ac:dyDescent="0.25">
      <c r="A13" s="363"/>
      <c r="B13" s="227">
        <f>B12/$B$4</f>
        <v>7.13867579844992E-2</v>
      </c>
      <c r="C13" s="228">
        <f>B10+B12</f>
        <v>42717537</v>
      </c>
      <c r="D13" s="1">
        <f>C13/$B$4</f>
        <v>0.13835839467257338</v>
      </c>
    </row>
    <row r="14" spans="1:4" x14ac:dyDescent="0.25">
      <c r="A14" s="363" t="s">
        <v>25</v>
      </c>
      <c r="B14" s="228">
        <v>21585999</v>
      </c>
      <c r="C14" s="76"/>
    </row>
    <row r="15" spans="1:4" x14ac:dyDescent="0.25">
      <c r="A15" s="363"/>
      <c r="B15" s="227">
        <f>B14/$B$4</f>
        <v>6.9915177203305853E-2</v>
      </c>
      <c r="C15" s="76"/>
    </row>
    <row r="16" spans="1:4" x14ac:dyDescent="0.25">
      <c r="A16" s="363" t="s">
        <v>26</v>
      </c>
      <c r="B16" s="228">
        <v>21101849</v>
      </c>
      <c r="C16" s="76"/>
    </row>
    <row r="17" spans="1:4" x14ac:dyDescent="0.25">
      <c r="A17" s="363"/>
      <c r="B17" s="227">
        <f>B16/$B$4</f>
        <v>6.8347057375125531E-2</v>
      </c>
      <c r="C17" s="228">
        <f>B14+B16</f>
        <v>42687848</v>
      </c>
      <c r="D17" s="1">
        <f>C17/$B$4</f>
        <v>0.13826223457843137</v>
      </c>
    </row>
    <row r="18" spans="1:4" x14ac:dyDescent="0.25">
      <c r="A18" s="363" t="s">
        <v>27</v>
      </c>
      <c r="B18" s="228">
        <v>19962099</v>
      </c>
      <c r="C18" s="76"/>
    </row>
    <row r="19" spans="1:4" x14ac:dyDescent="0.25">
      <c r="A19" s="363"/>
      <c r="B19" s="227">
        <f>B18/$B$4</f>
        <v>6.465550604977488E-2</v>
      </c>
      <c r="C19" s="77"/>
    </row>
    <row r="20" spans="1:4" x14ac:dyDescent="0.25">
      <c r="A20" s="363" t="s">
        <v>28</v>
      </c>
      <c r="B20" s="228">
        <v>20179642</v>
      </c>
      <c r="C20" s="76"/>
    </row>
    <row r="21" spans="1:4" x14ac:dyDescent="0.25">
      <c r="A21" s="363"/>
      <c r="B21" s="227">
        <f>B20/$B$4</f>
        <v>6.5360108945121009E-2</v>
      </c>
      <c r="C21" s="228">
        <f>B18+B20</f>
        <v>40141741</v>
      </c>
      <c r="D21" s="1">
        <f>C21/$B$4</f>
        <v>0.13001561499489589</v>
      </c>
    </row>
    <row r="22" spans="1:4" x14ac:dyDescent="0.25">
      <c r="A22" s="363" t="s">
        <v>29</v>
      </c>
      <c r="B22" s="228">
        <v>20890964</v>
      </c>
      <c r="C22" s="76"/>
    </row>
    <row r="23" spans="1:4" x14ac:dyDescent="0.25">
      <c r="A23" s="363"/>
      <c r="B23" s="227">
        <f>B22/$B$4</f>
        <v>6.7664019163898012E-2</v>
      </c>
      <c r="C23" s="76"/>
    </row>
    <row r="24" spans="1:4" x14ac:dyDescent="0.25">
      <c r="A24" s="363" t="s">
        <v>30</v>
      </c>
      <c r="B24" s="228">
        <v>22708591</v>
      </c>
      <c r="C24" s="76"/>
    </row>
    <row r="25" spans="1:4" x14ac:dyDescent="0.25">
      <c r="A25" s="363"/>
      <c r="B25" s="227">
        <f>B24/$B$4</f>
        <v>7.3551155255885833E-2</v>
      </c>
      <c r="C25" s="228">
        <f>B22+B24</f>
        <v>43599555</v>
      </c>
      <c r="D25" s="1">
        <f>C25/$B$4</f>
        <v>0.14121517441978385</v>
      </c>
    </row>
    <row r="26" spans="1:4" x14ac:dyDescent="0.25">
      <c r="A26" s="363" t="s">
        <v>31</v>
      </c>
      <c r="B26" s="228">
        <v>22298125</v>
      </c>
      <c r="C26" s="76"/>
    </row>
    <row r="27" spans="1:4" x14ac:dyDescent="0.25">
      <c r="A27" s="363"/>
      <c r="B27" s="227">
        <f>B26/$B$4</f>
        <v>7.2221691508299629E-2</v>
      </c>
      <c r="C27" s="76"/>
    </row>
    <row r="28" spans="1:4" x14ac:dyDescent="0.25">
      <c r="A28" s="363" t="s">
        <v>32</v>
      </c>
      <c r="B28" s="228">
        <v>19664805</v>
      </c>
      <c r="C28" s="76"/>
    </row>
    <row r="29" spans="1:4" x14ac:dyDescent="0.25">
      <c r="A29" s="363"/>
      <c r="B29" s="227">
        <f>B28/$B$4</f>
        <v>6.3692596587420158E-2</v>
      </c>
      <c r="C29" s="228">
        <f>B26+B28</f>
        <v>41962930</v>
      </c>
      <c r="D29" s="1">
        <f>C29/$B$4</f>
        <v>0.13591428809571979</v>
      </c>
    </row>
    <row r="30" spans="1:4" x14ac:dyDescent="0.25">
      <c r="A30" s="363" t="s">
        <v>33</v>
      </c>
      <c r="B30" s="228">
        <v>16817924</v>
      </c>
      <c r="C30" s="76"/>
    </row>
    <row r="31" spans="1:4" x14ac:dyDescent="0.25">
      <c r="A31" s="363"/>
      <c r="B31" s="227">
        <f>B30/$B$4</f>
        <v>5.4471796123576693E-2</v>
      </c>
      <c r="C31" s="77"/>
    </row>
    <row r="32" spans="1:4" x14ac:dyDescent="0.25">
      <c r="A32" s="363" t="s">
        <v>34</v>
      </c>
      <c r="B32" s="228">
        <v>12435263</v>
      </c>
      <c r="C32" s="76"/>
    </row>
    <row r="33" spans="1:4" x14ac:dyDescent="0.25">
      <c r="A33" s="363"/>
      <c r="B33" s="227">
        <f>B32/$B$4</f>
        <v>4.027673753782314E-2</v>
      </c>
      <c r="C33" s="228">
        <f>B30+B32</f>
        <v>29253187</v>
      </c>
      <c r="D33" s="1">
        <f>C33/$B$4</f>
        <v>9.4748533661399834E-2</v>
      </c>
    </row>
    <row r="34" spans="1:4" x14ac:dyDescent="0.25">
      <c r="A34" s="363" t="s">
        <v>35</v>
      </c>
      <c r="B34" s="228">
        <v>9278166</v>
      </c>
      <c r="C34" s="76"/>
    </row>
    <row r="35" spans="1:4" x14ac:dyDescent="0.25">
      <c r="A35" s="363"/>
      <c r="B35" s="227">
        <f>B34/$B$4</f>
        <v>3.0051174375190486E-2</v>
      </c>
      <c r="C35" s="76"/>
    </row>
    <row r="36" spans="1:4" x14ac:dyDescent="0.25">
      <c r="A36" s="363" t="s">
        <v>36</v>
      </c>
      <c r="B36" s="228">
        <v>7317795</v>
      </c>
      <c r="C36" s="76"/>
    </row>
    <row r="37" spans="1:4" x14ac:dyDescent="0.25">
      <c r="A37" s="363"/>
      <c r="B37" s="227">
        <f>B36/$B$4</f>
        <v>2.370170285667416E-2</v>
      </c>
      <c r="C37" s="228">
        <f>B34+B36</f>
        <v>16595961</v>
      </c>
      <c r="D37" s="1">
        <f>C37/$B$4</f>
        <v>5.3752877231864643E-2</v>
      </c>
    </row>
    <row r="38" spans="1:4" x14ac:dyDescent="0.25">
      <c r="A38" s="363" t="s">
        <v>37</v>
      </c>
      <c r="B38" s="228">
        <v>5743327</v>
      </c>
      <c r="C38" s="76"/>
    </row>
    <row r="39" spans="1:4" x14ac:dyDescent="0.25">
      <c r="A39" s="363"/>
      <c r="B39" s="227">
        <f>B38/$B$4</f>
        <v>1.8602137660690663E-2</v>
      </c>
      <c r="C39" s="76"/>
    </row>
    <row r="40" spans="1:4" x14ac:dyDescent="0.25">
      <c r="A40" s="363" t="s">
        <v>179</v>
      </c>
      <c r="B40" s="228">
        <v>5493433</v>
      </c>
      <c r="C40" s="76"/>
    </row>
    <row r="41" spans="1:4" x14ac:dyDescent="0.25">
      <c r="A41" s="363"/>
      <c r="B41" s="227">
        <f>B40/$B$4</f>
        <v>1.7792752684250939E-2</v>
      </c>
      <c r="C41" s="228">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38:A39"/>
    <mergeCell ref="A40:A41"/>
    <mergeCell ref="A26:A27"/>
    <mergeCell ref="A28:A29"/>
    <mergeCell ref="A30:A31"/>
    <mergeCell ref="A32:A33"/>
    <mergeCell ref="A34:A35"/>
    <mergeCell ref="A36:A37"/>
    <mergeCell ref="A24:A25"/>
    <mergeCell ref="A2:A3"/>
    <mergeCell ref="A4:A5"/>
    <mergeCell ref="A6:A7"/>
    <mergeCell ref="A8:A9"/>
    <mergeCell ref="A10:A11"/>
    <mergeCell ref="A12:A13"/>
    <mergeCell ref="A14:A15"/>
    <mergeCell ref="A16:A17"/>
    <mergeCell ref="A18:A19"/>
    <mergeCell ref="A20:A21"/>
    <mergeCell ref="A22:A23"/>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182</v>
      </c>
    </row>
    <row r="2" spans="1:3" x14ac:dyDescent="0.25">
      <c r="A2" t="s">
        <v>183</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D2B28-88AD-43AE-B2B9-0612158B70D1}">
  <dimension ref="A1:D54"/>
  <sheetViews>
    <sheetView topLeftCell="A4" workbookViewId="0">
      <selection activeCell="G29" sqref="G29"/>
    </sheetView>
  </sheetViews>
  <sheetFormatPr defaultRowHeight="15" x14ac:dyDescent="0.25"/>
  <cols>
    <col min="1" max="1" width="43.5703125" customWidth="1"/>
  </cols>
  <sheetData>
    <row r="1" spans="1:4" x14ac:dyDescent="0.25">
      <c r="A1" t="s">
        <v>612</v>
      </c>
    </row>
    <row r="2" spans="1:4" x14ac:dyDescent="0.25">
      <c r="A2" s="289" t="s">
        <v>583</v>
      </c>
    </row>
    <row r="3" spans="1:4" x14ac:dyDescent="0.25">
      <c r="A3" t="s">
        <v>613</v>
      </c>
    </row>
    <row r="4" spans="1:4" x14ac:dyDescent="0.25">
      <c r="B4" t="s">
        <v>590</v>
      </c>
      <c r="C4" t="s">
        <v>591</v>
      </c>
    </row>
    <row r="5" spans="1:4" x14ac:dyDescent="0.25">
      <c r="A5" t="s">
        <v>584</v>
      </c>
      <c r="B5">
        <v>5.6</v>
      </c>
      <c r="C5" s="1">
        <f>B5/100000</f>
        <v>5.5999999999999999E-5</v>
      </c>
    </row>
    <row r="6" spans="1:4" x14ac:dyDescent="0.25">
      <c r="A6" s="349" t="s">
        <v>585</v>
      </c>
      <c r="B6">
        <v>3.1</v>
      </c>
      <c r="C6" s="1">
        <f t="shared" ref="C6:C13" si="0">B6/100000</f>
        <v>3.1000000000000001E-5</v>
      </c>
    </row>
    <row r="7" spans="1:4" x14ac:dyDescent="0.25">
      <c r="A7" t="s">
        <v>586</v>
      </c>
      <c r="B7">
        <v>27.3</v>
      </c>
      <c r="C7" s="1">
        <f t="shared" si="0"/>
        <v>2.7300000000000002E-4</v>
      </c>
    </row>
    <row r="8" spans="1:4" x14ac:dyDescent="0.25">
      <c r="A8" t="s">
        <v>17</v>
      </c>
      <c r="B8">
        <v>52.5</v>
      </c>
      <c r="C8" s="1">
        <f t="shared" si="0"/>
        <v>5.2499999999999997E-4</v>
      </c>
    </row>
    <row r="9" spans="1:4" x14ac:dyDescent="0.25">
      <c r="A9" t="s">
        <v>16</v>
      </c>
      <c r="B9">
        <v>84.6</v>
      </c>
      <c r="C9" s="1">
        <f t="shared" si="0"/>
        <v>8.4599999999999996E-4</v>
      </c>
    </row>
    <row r="10" spans="1:4" x14ac:dyDescent="0.25">
      <c r="A10" t="s">
        <v>587</v>
      </c>
      <c r="B10">
        <v>136.1</v>
      </c>
      <c r="C10" s="1">
        <f t="shared" si="0"/>
        <v>1.361E-3</v>
      </c>
    </row>
    <row r="11" spans="1:4" x14ac:dyDescent="0.25">
      <c r="A11" t="s">
        <v>588</v>
      </c>
      <c r="B11">
        <v>198.7</v>
      </c>
      <c r="C11" s="1">
        <f t="shared" si="0"/>
        <v>1.9870000000000001E-3</v>
      </c>
    </row>
    <row r="12" spans="1:4" x14ac:dyDescent="0.25">
      <c r="A12" t="s">
        <v>589</v>
      </c>
      <c r="B12">
        <v>329.3</v>
      </c>
      <c r="C12" s="1">
        <f t="shared" si="0"/>
        <v>3.2929999999999999E-3</v>
      </c>
    </row>
    <row r="13" spans="1:4" x14ac:dyDescent="0.25">
      <c r="A13" t="s">
        <v>179</v>
      </c>
      <c r="B13">
        <v>513.20000000000005</v>
      </c>
      <c r="C13" s="1">
        <f t="shared" si="0"/>
        <v>5.1320000000000003E-3</v>
      </c>
    </row>
    <row r="14" spans="1:4" x14ac:dyDescent="0.25">
      <c r="C14" s="1"/>
    </row>
    <row r="15" spans="1:4" x14ac:dyDescent="0.25">
      <c r="A15" s="289" t="s">
        <v>614</v>
      </c>
      <c r="C15" s="1"/>
    </row>
    <row r="16" spans="1:4" x14ac:dyDescent="0.25">
      <c r="A16" t="s">
        <v>616</v>
      </c>
      <c r="B16" t="s">
        <v>590</v>
      </c>
      <c r="C16" s="1" t="s">
        <v>591</v>
      </c>
      <c r="D16" t="s">
        <v>621</v>
      </c>
    </row>
    <row r="17" spans="1:4" x14ac:dyDescent="0.25">
      <c r="A17" t="s">
        <v>615</v>
      </c>
      <c r="B17">
        <v>221.2</v>
      </c>
      <c r="C17" s="1">
        <f>B17/100000</f>
        <v>2.212E-3</v>
      </c>
      <c r="D17" s="176">
        <f t="shared" ref="D17:D20" si="1">B17/$B$21</f>
        <v>5.5162094763092266</v>
      </c>
    </row>
    <row r="18" spans="1:4" x14ac:dyDescent="0.25">
      <c r="A18" t="s">
        <v>617</v>
      </c>
      <c r="B18">
        <v>178.1</v>
      </c>
      <c r="C18" s="1">
        <f t="shared" ref="C18:C21" si="2">B18/100000</f>
        <v>1.781E-3</v>
      </c>
      <c r="D18" s="176">
        <f t="shared" si="1"/>
        <v>4.4413965087281788</v>
      </c>
    </row>
    <row r="19" spans="1:4" x14ac:dyDescent="0.25">
      <c r="A19" t="s">
        <v>618</v>
      </c>
      <c r="B19">
        <v>160.69999999999999</v>
      </c>
      <c r="C19" s="1">
        <f t="shared" si="2"/>
        <v>1.6069999999999999E-3</v>
      </c>
      <c r="D19" s="176">
        <f t="shared" si="1"/>
        <v>4.0074812967581046</v>
      </c>
    </row>
    <row r="20" spans="1:4" x14ac:dyDescent="0.25">
      <c r="A20" t="s">
        <v>619</v>
      </c>
      <c r="B20">
        <v>48.4</v>
      </c>
      <c r="C20" s="1">
        <f t="shared" si="2"/>
        <v>4.84E-4</v>
      </c>
      <c r="D20" s="176">
        <f t="shared" si="1"/>
        <v>1.2069825436408976</v>
      </c>
    </row>
    <row r="21" spans="1:4" x14ac:dyDescent="0.25">
      <c r="A21" t="s">
        <v>620</v>
      </c>
      <c r="B21">
        <v>40.1</v>
      </c>
      <c r="C21" s="1">
        <f t="shared" si="2"/>
        <v>4.0099999999999999E-4</v>
      </c>
      <c r="D21">
        <f>B21/$B$21</f>
        <v>1</v>
      </c>
    </row>
    <row r="22" spans="1:4" x14ac:dyDescent="0.25">
      <c r="C22" s="1"/>
    </row>
    <row r="23" spans="1:4" x14ac:dyDescent="0.25">
      <c r="A23" t="s">
        <v>622</v>
      </c>
      <c r="C23" s="1"/>
    </row>
    <row r="24" spans="1:4" x14ac:dyDescent="0.25">
      <c r="A24" t="s">
        <v>623</v>
      </c>
      <c r="C24" s="1"/>
    </row>
    <row r="25" spans="1:4" x14ac:dyDescent="0.25">
      <c r="A25" t="s">
        <v>624</v>
      </c>
      <c r="C25" s="1"/>
    </row>
    <row r="26" spans="1:4" x14ac:dyDescent="0.25">
      <c r="A26" t="s">
        <v>625</v>
      </c>
      <c r="C26" s="1"/>
    </row>
    <row r="27" spans="1:4" x14ac:dyDescent="0.25">
      <c r="A27" t="s">
        <v>626</v>
      </c>
      <c r="C27" s="1"/>
    </row>
    <row r="28" spans="1:4" x14ac:dyDescent="0.25">
      <c r="A28" t="s">
        <v>627</v>
      </c>
      <c r="C28" s="1"/>
    </row>
    <row r="29" spans="1:4" x14ac:dyDescent="0.25">
      <c r="A29" t="s">
        <v>628</v>
      </c>
      <c r="C29" s="1"/>
    </row>
    <row r="30" spans="1:4" x14ac:dyDescent="0.25">
      <c r="A30" t="s">
        <v>629</v>
      </c>
      <c r="C30" s="1"/>
    </row>
    <row r="31" spans="1:4" x14ac:dyDescent="0.25">
      <c r="C31" s="1"/>
    </row>
    <row r="32" spans="1:4" x14ac:dyDescent="0.25">
      <c r="A32" s="289" t="s">
        <v>611</v>
      </c>
    </row>
    <row r="33" spans="1:1" x14ac:dyDescent="0.25">
      <c r="A33" s="290" t="s">
        <v>592</v>
      </c>
    </row>
    <row r="34" spans="1:1" x14ac:dyDescent="0.25">
      <c r="A34" t="s">
        <v>593</v>
      </c>
    </row>
    <row r="35" spans="1:1" x14ac:dyDescent="0.25">
      <c r="A35" t="s">
        <v>594</v>
      </c>
    </row>
    <row r="36" spans="1:1" x14ac:dyDescent="0.25">
      <c r="A36" t="s">
        <v>595</v>
      </c>
    </row>
    <row r="37" spans="1:1" x14ac:dyDescent="0.25">
      <c r="A37" t="s">
        <v>596</v>
      </c>
    </row>
    <row r="38" spans="1:1" x14ac:dyDescent="0.25">
      <c r="A38" t="s">
        <v>597</v>
      </c>
    </row>
    <row r="39" spans="1:1" x14ac:dyDescent="0.25">
      <c r="A39" t="s">
        <v>598</v>
      </c>
    </row>
    <row r="40" spans="1:1" x14ac:dyDescent="0.25">
      <c r="A40" t="s">
        <v>599</v>
      </c>
    </row>
    <row r="42" spans="1:1" x14ac:dyDescent="0.25">
      <c r="A42" s="290" t="s">
        <v>600</v>
      </c>
    </row>
    <row r="43" spans="1:1" x14ac:dyDescent="0.25">
      <c r="A43" t="s">
        <v>601</v>
      </c>
    </row>
    <row r="44" spans="1:1" x14ac:dyDescent="0.25">
      <c r="A44" t="s">
        <v>602</v>
      </c>
    </row>
    <row r="45" spans="1:1" x14ac:dyDescent="0.25">
      <c r="A45" t="s">
        <v>603</v>
      </c>
    </row>
    <row r="46" spans="1:1" x14ac:dyDescent="0.25">
      <c r="A46" t="s">
        <v>7</v>
      </c>
    </row>
    <row r="47" spans="1:1" x14ac:dyDescent="0.25">
      <c r="A47" t="s">
        <v>604</v>
      </c>
    </row>
    <row r="48" spans="1:1" x14ac:dyDescent="0.25">
      <c r="A48" t="s">
        <v>605</v>
      </c>
    </row>
    <row r="49" spans="1:1" x14ac:dyDescent="0.25">
      <c r="A49" t="s">
        <v>606</v>
      </c>
    </row>
    <row r="50" spans="1:1" x14ac:dyDescent="0.25">
      <c r="A50" t="s">
        <v>607</v>
      </c>
    </row>
    <row r="51" spans="1:1" x14ac:dyDescent="0.25">
      <c r="A51" t="s">
        <v>608</v>
      </c>
    </row>
    <row r="52" spans="1:1" x14ac:dyDescent="0.25">
      <c r="A52" t="s">
        <v>9</v>
      </c>
    </row>
    <row r="53" spans="1:1" x14ac:dyDescent="0.25">
      <c r="A53" t="s">
        <v>609</v>
      </c>
    </row>
    <row r="54" spans="1:1" x14ac:dyDescent="0.25">
      <c r="A54" t="s">
        <v>610</v>
      </c>
    </row>
  </sheetData>
  <hyperlinks>
    <hyperlink ref="A2" r:id="rId1" xr:uid="{EBE3DF82-0478-49E9-93D2-A26F4A378737}"/>
    <hyperlink ref="A32" r:id="rId2" xr:uid="{0EC8798D-05B6-4280-9FE9-1A956B50AD58}"/>
    <hyperlink ref="A15" r:id="rId3" xr:uid="{360A7729-3D96-4C6A-80B8-B641B2F4A0E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062E7-8606-4A3D-9E4F-B90089708D67}">
  <dimension ref="A1:AE68"/>
  <sheetViews>
    <sheetView workbookViewId="0">
      <selection activeCell="N22" sqref="N22"/>
    </sheetView>
  </sheetViews>
  <sheetFormatPr defaultRowHeight="15" x14ac:dyDescent="0.25"/>
  <cols>
    <col min="1" max="1" width="57.85546875" bestFit="1" customWidth="1"/>
    <col min="2" max="2" width="12.85546875" bestFit="1" customWidth="1"/>
    <col min="3" max="3" width="11.7109375" customWidth="1"/>
    <col min="4" max="4" width="12" customWidth="1"/>
    <col min="5" max="5" width="21" customWidth="1"/>
    <col min="7" max="7" width="21" customWidth="1"/>
    <col min="8" max="8" width="12.28515625" bestFit="1" customWidth="1"/>
    <col min="11" max="11" width="9.7109375" bestFit="1" customWidth="1"/>
    <col min="12" max="12" width="10.7109375" bestFit="1" customWidth="1"/>
    <col min="14" max="14" width="19.42578125" bestFit="1" customWidth="1"/>
    <col min="15" max="16" width="10.7109375" bestFit="1" customWidth="1"/>
    <col min="17" max="17" width="14.42578125" bestFit="1" customWidth="1"/>
    <col min="18" max="18" width="16" bestFit="1" customWidth="1"/>
    <col min="19" max="19" width="19" bestFit="1" customWidth="1"/>
    <col min="20" max="20" width="14.85546875" bestFit="1" customWidth="1"/>
  </cols>
  <sheetData>
    <row r="1" spans="1:20" x14ac:dyDescent="0.25">
      <c r="A1" s="289" t="s">
        <v>445</v>
      </c>
      <c r="O1" s="290" t="s">
        <v>442</v>
      </c>
    </row>
    <row r="2" spans="1:20" s="313" customFormat="1" ht="45" x14ac:dyDescent="0.25">
      <c r="A2" s="312" t="s">
        <v>431</v>
      </c>
      <c r="B2" s="312" t="s">
        <v>432</v>
      </c>
      <c r="C2" s="312" t="s">
        <v>433</v>
      </c>
      <c r="D2" s="312" t="s">
        <v>455</v>
      </c>
      <c r="E2" s="312" t="s">
        <v>443</v>
      </c>
      <c r="F2" s="312" t="s">
        <v>487</v>
      </c>
      <c r="G2" s="312" t="s">
        <v>498</v>
      </c>
      <c r="H2" s="312" t="s">
        <v>500</v>
      </c>
      <c r="O2" s="315" t="s">
        <v>488</v>
      </c>
      <c r="P2" s="316" t="s">
        <v>489</v>
      </c>
      <c r="Q2" s="316" t="s">
        <v>97</v>
      </c>
      <c r="R2" s="316" t="s">
        <v>490</v>
      </c>
      <c r="S2" s="316" t="s">
        <v>491</v>
      </c>
      <c r="T2" s="317" t="s">
        <v>492</v>
      </c>
    </row>
    <row r="3" spans="1:20" s="313" customFormat="1" x14ac:dyDescent="0.25">
      <c r="A3" s="329" t="s">
        <v>553</v>
      </c>
      <c r="B3" s="306">
        <v>10000000</v>
      </c>
      <c r="C3" s="339">
        <v>0.9</v>
      </c>
      <c r="D3" s="264">
        <v>700</v>
      </c>
      <c r="E3" s="329"/>
      <c r="F3" s="329"/>
      <c r="G3" s="329"/>
      <c r="H3" s="329"/>
      <c r="I3" s="330" t="s">
        <v>552</v>
      </c>
      <c r="O3" s="327"/>
      <c r="P3" s="326"/>
      <c r="Q3" s="326"/>
      <c r="R3" s="316"/>
      <c r="S3" s="326"/>
      <c r="T3" s="328"/>
    </row>
    <row r="4" spans="1:20" x14ac:dyDescent="0.25">
      <c r="A4" t="s">
        <v>440</v>
      </c>
      <c r="B4" s="306">
        <v>755000</v>
      </c>
      <c r="C4" s="1">
        <v>2.385E-2</v>
      </c>
      <c r="D4" s="264">
        <v>520</v>
      </c>
      <c r="F4" s="2"/>
      <c r="G4" s="259">
        <v>43918</v>
      </c>
      <c r="H4" s="264">
        <v>644</v>
      </c>
      <c r="O4" s="318">
        <v>43890</v>
      </c>
      <c r="P4" s="251">
        <f ca="1">NOW()</f>
        <v>44016.887101388886</v>
      </c>
      <c r="Q4" s="136">
        <f ca="1">P4-O4</f>
        <v>126.88710138888564</v>
      </c>
      <c r="R4" s="310">
        <v>132101</v>
      </c>
      <c r="S4" s="10">
        <f ca="1">R4/Q4</f>
        <v>1041.0908481165056</v>
      </c>
      <c r="T4" s="83">
        <f ca="1">("31/12/2020"-O4)*S4</f>
        <v>318573.79952365073</v>
      </c>
    </row>
    <row r="5" spans="1:20" x14ac:dyDescent="0.25">
      <c r="A5" s="39" t="s">
        <v>426</v>
      </c>
      <c r="B5" s="307">
        <v>405399</v>
      </c>
      <c r="C5" s="44">
        <v>3.7000000000000002E-3</v>
      </c>
      <c r="D5" s="292">
        <v>297</v>
      </c>
      <c r="E5" s="39"/>
      <c r="F5" s="11"/>
      <c r="G5" s="293">
        <v>43915</v>
      </c>
      <c r="H5" s="292">
        <v>303</v>
      </c>
      <c r="O5" s="41"/>
      <c r="P5" s="16"/>
      <c r="Q5" s="16"/>
      <c r="R5" s="14">
        <f>R4/Projections!B316</f>
        <v>3.9962125509165354E-4</v>
      </c>
      <c r="S5" s="16" t="s">
        <v>534</v>
      </c>
      <c r="T5" s="17"/>
    </row>
    <row r="6" spans="1:20" x14ac:dyDescent="0.25">
      <c r="A6" s="92" t="s">
        <v>427</v>
      </c>
      <c r="B6" s="304">
        <v>116516</v>
      </c>
      <c r="C6" s="335">
        <v>1.1000000000000001E-3</v>
      </c>
      <c r="D6" s="324">
        <v>279</v>
      </c>
      <c r="E6" s="295">
        <v>43994</v>
      </c>
      <c r="F6" s="294">
        <v>116825</v>
      </c>
      <c r="G6" s="259">
        <v>43915</v>
      </c>
      <c r="H6" s="264">
        <v>303</v>
      </c>
      <c r="O6" s="41"/>
      <c r="P6" s="319" t="s">
        <v>96</v>
      </c>
      <c r="Q6" s="319"/>
      <c r="R6" s="319" t="s">
        <v>493</v>
      </c>
      <c r="S6" s="16"/>
      <c r="T6" s="17"/>
    </row>
    <row r="7" spans="1:20" x14ac:dyDescent="0.25">
      <c r="A7" s="92" t="s">
        <v>429</v>
      </c>
      <c r="B7" s="304">
        <v>58209</v>
      </c>
      <c r="C7" s="297">
        <v>3.2000000000000003E-4</v>
      </c>
      <c r="D7" s="264">
        <v>11</v>
      </c>
      <c r="E7" s="295">
        <v>43949</v>
      </c>
      <c r="F7" s="294">
        <v>59265</v>
      </c>
      <c r="G7" s="259">
        <v>43905</v>
      </c>
      <c r="H7" s="264">
        <v>15</v>
      </c>
      <c r="O7" s="320" t="s">
        <v>481</v>
      </c>
      <c r="P7" s="251">
        <v>43942</v>
      </c>
      <c r="Q7" s="16"/>
      <c r="R7" s="310">
        <v>2749</v>
      </c>
      <c r="S7" s="16"/>
      <c r="T7" s="17"/>
    </row>
    <row r="8" spans="1:20" x14ac:dyDescent="0.25">
      <c r="A8" s="92" t="s">
        <v>548</v>
      </c>
      <c r="B8" s="304">
        <v>39457</v>
      </c>
      <c r="C8" s="321">
        <f>B8/Projections!B316</f>
        <v>1.19362123391582E-4</v>
      </c>
      <c r="D8" s="324">
        <f>B8/365</f>
        <v>108.1013698630137</v>
      </c>
      <c r="E8" s="295">
        <v>43940</v>
      </c>
      <c r="F8" s="294">
        <v>40901</v>
      </c>
      <c r="G8" s="259">
        <v>43912</v>
      </c>
      <c r="H8" s="264">
        <v>135</v>
      </c>
      <c r="I8" t="s">
        <v>538</v>
      </c>
      <c r="O8" s="37"/>
      <c r="P8" s="39"/>
      <c r="Q8" s="39"/>
      <c r="R8" s="340">
        <f>R7/Projections!B316</f>
        <v>8.3160523406102578E-6</v>
      </c>
      <c r="S8" s="39"/>
      <c r="T8" s="63"/>
    </row>
    <row r="9" spans="1:20" x14ac:dyDescent="0.25">
      <c r="A9" s="92" t="s">
        <v>428</v>
      </c>
      <c r="B9" s="304">
        <v>36516</v>
      </c>
      <c r="C9" s="297">
        <v>2.4000000000000001E-4</v>
      </c>
      <c r="D9" s="264">
        <v>30</v>
      </c>
      <c r="E9" s="295">
        <v>43938</v>
      </c>
      <c r="F9" s="294">
        <v>37448</v>
      </c>
      <c r="G9" s="259">
        <v>43908</v>
      </c>
      <c r="H9" s="264">
        <v>50</v>
      </c>
    </row>
    <row r="10" spans="1:20" x14ac:dyDescent="0.25">
      <c r="A10" s="92" t="s">
        <v>438</v>
      </c>
      <c r="B10" s="304">
        <v>25000</v>
      </c>
      <c r="C10" s="338">
        <v>0.01</v>
      </c>
      <c r="D10" s="264">
        <v>11</v>
      </c>
      <c r="E10" s="295">
        <v>43933</v>
      </c>
      <c r="F10" s="294">
        <v>25789</v>
      </c>
      <c r="G10" s="259">
        <v>43905</v>
      </c>
      <c r="H10" s="264">
        <v>15</v>
      </c>
    </row>
    <row r="11" spans="1:20" x14ac:dyDescent="0.25">
      <c r="A11" s="92" t="s">
        <v>439</v>
      </c>
      <c r="B11" s="304">
        <v>15000</v>
      </c>
      <c r="C11" s="335">
        <v>2.0699999999999998E-3</v>
      </c>
      <c r="D11" s="264">
        <v>15</v>
      </c>
      <c r="E11" s="295">
        <v>375933</v>
      </c>
      <c r="F11" s="294">
        <v>15526</v>
      </c>
      <c r="G11" s="259">
        <v>43905</v>
      </c>
      <c r="H11" s="264">
        <v>15</v>
      </c>
    </row>
    <row r="12" spans="1:20" x14ac:dyDescent="0.25">
      <c r="A12" s="92" t="s">
        <v>441</v>
      </c>
      <c r="B12" s="304">
        <v>13282</v>
      </c>
      <c r="C12" s="335">
        <v>5.6999999999999998E-4</v>
      </c>
      <c r="D12" s="264">
        <v>29</v>
      </c>
      <c r="E12" s="295">
        <v>43927</v>
      </c>
      <c r="F12" s="294">
        <v>13298</v>
      </c>
      <c r="G12" s="259">
        <v>43908</v>
      </c>
      <c r="H12" s="264">
        <v>50</v>
      </c>
    </row>
    <row r="13" spans="1:20" x14ac:dyDescent="0.25">
      <c r="A13" s="92" t="s">
        <v>557</v>
      </c>
      <c r="B13" s="304">
        <v>6000</v>
      </c>
      <c r="C13" s="321">
        <f>B13/Projections!B316</f>
        <v>1.8150714457497833E-5</v>
      </c>
      <c r="D13" s="324">
        <f>B13/365</f>
        <v>16.438356164383563</v>
      </c>
      <c r="E13" s="295">
        <v>43922</v>
      </c>
      <c r="F13" s="294">
        <v>6407</v>
      </c>
      <c r="G13" s="259">
        <v>43906</v>
      </c>
      <c r="H13" s="264">
        <v>22</v>
      </c>
    </row>
    <row r="14" spans="1:20" x14ac:dyDescent="0.25">
      <c r="A14" s="92" t="s">
        <v>437</v>
      </c>
      <c r="B14" s="304">
        <v>4576</v>
      </c>
      <c r="C14" s="321">
        <v>2.0000000000000002E-5</v>
      </c>
      <c r="D14" s="264">
        <v>2</v>
      </c>
      <c r="E14" s="295">
        <v>43921</v>
      </c>
      <c r="F14" s="294">
        <v>5151</v>
      </c>
      <c r="G14" s="259">
        <v>43892</v>
      </c>
      <c r="H14" s="264">
        <v>5</v>
      </c>
    </row>
    <row r="15" spans="1:20" x14ac:dyDescent="0.25">
      <c r="A15" s="92" t="s">
        <v>435</v>
      </c>
      <c r="B15" s="304">
        <v>4196</v>
      </c>
      <c r="C15" s="321">
        <v>6.0000000000000002E-5</v>
      </c>
      <c r="D15" s="264">
        <v>3.8</v>
      </c>
      <c r="E15" s="295">
        <v>43921</v>
      </c>
      <c r="F15" s="294">
        <v>5151</v>
      </c>
      <c r="G15" s="259">
        <v>43892</v>
      </c>
      <c r="H15" s="264">
        <v>5</v>
      </c>
    </row>
    <row r="16" spans="1:20" x14ac:dyDescent="0.25">
      <c r="A16" s="92" t="s">
        <v>434</v>
      </c>
      <c r="B16" s="304">
        <v>2446</v>
      </c>
      <c r="C16" s="321">
        <v>4.0000000000000003E-5</v>
      </c>
      <c r="D16" s="264">
        <v>8.9</v>
      </c>
      <c r="E16" s="295">
        <v>43918</v>
      </c>
      <c r="F16" s="294">
        <v>2754</v>
      </c>
      <c r="G16" s="259">
        <v>43904</v>
      </c>
      <c r="H16" s="264">
        <v>10</v>
      </c>
    </row>
    <row r="17" spans="1:19" x14ac:dyDescent="0.25">
      <c r="A17" s="92" t="s">
        <v>436</v>
      </c>
      <c r="B17" s="304">
        <v>2216</v>
      </c>
      <c r="C17" s="321">
        <v>4.0000000000000003E-5</v>
      </c>
      <c r="D17" s="264">
        <v>0.36</v>
      </c>
      <c r="E17" s="295">
        <v>43918</v>
      </c>
      <c r="F17" s="294">
        <v>2754</v>
      </c>
      <c r="G17" s="259">
        <v>43890</v>
      </c>
      <c r="H17" s="264">
        <v>1</v>
      </c>
    </row>
    <row r="18" spans="1:19" x14ac:dyDescent="0.25">
      <c r="A18" s="92" t="s">
        <v>550</v>
      </c>
      <c r="B18" s="304">
        <v>1146</v>
      </c>
      <c r="C18" s="323">
        <f>1000/322762018</f>
        <v>3.0982579864772068E-6</v>
      </c>
      <c r="D18" s="322">
        <f>1000/365</f>
        <v>2.7397260273972601</v>
      </c>
      <c r="E18" s="295">
        <v>43915</v>
      </c>
      <c r="F18" s="294">
        <v>1260</v>
      </c>
      <c r="G18" s="259">
        <v>43892</v>
      </c>
      <c r="H18" s="264">
        <v>5</v>
      </c>
      <c r="I18" t="s">
        <v>558</v>
      </c>
    </row>
    <row r="19" spans="1:19" x14ac:dyDescent="0.25">
      <c r="A19" s="92" t="s">
        <v>549</v>
      </c>
      <c r="B19" s="304">
        <v>417</v>
      </c>
      <c r="C19" s="323">
        <f>1000/Projections!B316</f>
        <v>3.025119076249639E-6</v>
      </c>
      <c r="D19" s="322">
        <f>B19/365</f>
        <v>1.1424657534246576</v>
      </c>
      <c r="E19" s="295">
        <v>43912</v>
      </c>
      <c r="F19" s="294">
        <v>509</v>
      </c>
      <c r="G19" s="259">
        <v>43892</v>
      </c>
      <c r="H19" s="264">
        <v>5</v>
      </c>
      <c r="I19" t="s">
        <v>538</v>
      </c>
    </row>
    <row r="20" spans="1:19" x14ac:dyDescent="0.25">
      <c r="A20" s="92" t="s">
        <v>430</v>
      </c>
      <c r="B20" s="304">
        <v>294</v>
      </c>
      <c r="C20" s="323">
        <f>B20/248709900</f>
        <v>1.1821001094045713E-6</v>
      </c>
      <c r="D20" s="264">
        <f>B20/210</f>
        <v>1.4</v>
      </c>
      <c r="E20" s="295">
        <v>43910</v>
      </c>
      <c r="F20" s="294">
        <v>309</v>
      </c>
      <c r="G20" s="259">
        <v>43892</v>
      </c>
      <c r="H20" s="264">
        <v>5</v>
      </c>
      <c r="K20" s="214"/>
      <c r="L20" s="214"/>
    </row>
    <row r="21" spans="1:19" x14ac:dyDescent="0.25">
      <c r="B21" s="2"/>
    </row>
    <row r="22" spans="1:19" x14ac:dyDescent="0.25">
      <c r="A22" s="289" t="s">
        <v>444</v>
      </c>
      <c r="B22" s="2"/>
      <c r="N22" s="313"/>
      <c r="O22" s="313"/>
      <c r="P22" s="313"/>
      <c r="Q22" s="313"/>
      <c r="R22" s="313"/>
      <c r="S22" s="313"/>
    </row>
    <row r="23" spans="1:19" s="313" customFormat="1" ht="45" x14ac:dyDescent="0.25">
      <c r="A23" s="312" t="s">
        <v>453</v>
      </c>
      <c r="B23" s="312" t="s">
        <v>432</v>
      </c>
      <c r="C23" s="312" t="s">
        <v>433</v>
      </c>
      <c r="D23" s="312" t="s">
        <v>455</v>
      </c>
      <c r="E23" s="312" t="s">
        <v>443</v>
      </c>
      <c r="F23" s="312" t="s">
        <v>487</v>
      </c>
      <c r="G23" s="312" t="s">
        <v>498</v>
      </c>
      <c r="H23" s="312" t="s">
        <v>500</v>
      </c>
      <c r="N23"/>
      <c r="O23"/>
      <c r="P23"/>
      <c r="Q23"/>
      <c r="R23"/>
      <c r="S23"/>
    </row>
    <row r="24" spans="1:19" x14ac:dyDescent="0.25">
      <c r="A24" t="s">
        <v>446</v>
      </c>
      <c r="B24" s="306">
        <v>647457</v>
      </c>
      <c r="C24" s="1">
        <f>B24/Projections!$B$316</f>
        <v>1.9586345217513625E-3</v>
      </c>
      <c r="D24" s="291">
        <f t="shared" ref="D24:D34" si="0">B24/365.25</f>
        <v>1772.6406570841889</v>
      </c>
      <c r="E24" s="69"/>
      <c r="F24" s="69"/>
      <c r="G24" s="259">
        <v>43928</v>
      </c>
      <c r="H24" s="291">
        <v>2228</v>
      </c>
    </row>
    <row r="25" spans="1:19" x14ac:dyDescent="0.25">
      <c r="A25" t="s">
        <v>8</v>
      </c>
      <c r="B25" s="306">
        <v>599108</v>
      </c>
      <c r="C25" s="1">
        <f>B25/Projections!$B$316</f>
        <v>1.8123730395337686E-3</v>
      </c>
      <c r="D25" s="291">
        <f t="shared" si="0"/>
        <v>1640.2683093771388</v>
      </c>
      <c r="E25" s="69"/>
      <c r="F25" s="35"/>
      <c r="G25" s="259">
        <v>43928</v>
      </c>
      <c r="H25" s="291">
        <v>2228</v>
      </c>
    </row>
    <row r="26" spans="1:19" x14ac:dyDescent="0.25">
      <c r="A26" t="s">
        <v>447</v>
      </c>
      <c r="B26" s="306">
        <v>169936</v>
      </c>
      <c r="C26" s="1">
        <f>B26/Projections!$B$316</f>
        <v>5.1407663534155858E-4</v>
      </c>
      <c r="D26" s="291">
        <f t="shared" si="0"/>
        <v>465.25941136208075</v>
      </c>
      <c r="E26" s="69"/>
      <c r="F26" s="35"/>
      <c r="G26" s="259">
        <v>412811</v>
      </c>
      <c r="H26" s="291">
        <v>496</v>
      </c>
    </row>
    <row r="27" spans="1:19" x14ac:dyDescent="0.25">
      <c r="A27" s="325" t="s">
        <v>509</v>
      </c>
      <c r="B27" s="304">
        <v>38000</v>
      </c>
      <c r="C27" s="297">
        <f>B27/Projections!$B$316</f>
        <v>1.1495452489748627E-4</v>
      </c>
      <c r="D27" s="291">
        <f t="shared" si="0"/>
        <v>104.03832991101984</v>
      </c>
      <c r="E27" s="295">
        <v>43939</v>
      </c>
      <c r="F27" s="294">
        <v>39331</v>
      </c>
      <c r="G27" s="259">
        <v>43912</v>
      </c>
      <c r="H27" s="291">
        <v>135</v>
      </c>
    </row>
    <row r="28" spans="1:19" x14ac:dyDescent="0.25">
      <c r="A28" t="s">
        <v>448</v>
      </c>
      <c r="B28" s="306">
        <v>160201</v>
      </c>
      <c r="C28" s="1">
        <f>B28/Projections!$B$316</f>
        <v>4.8462710113426839E-4</v>
      </c>
      <c r="D28" s="291">
        <f t="shared" si="0"/>
        <v>438.60643394934976</v>
      </c>
      <c r="E28" s="69"/>
      <c r="F28" s="35"/>
      <c r="G28" s="259">
        <v>43917</v>
      </c>
      <c r="H28" s="291">
        <v>496</v>
      </c>
    </row>
    <row r="29" spans="1:19" x14ac:dyDescent="0.25">
      <c r="A29" s="39" t="s">
        <v>449</v>
      </c>
      <c r="B29" s="307">
        <v>146383</v>
      </c>
      <c r="C29" s="44">
        <f>B29/Projections!$B$316</f>
        <v>4.4282600573865088E-4</v>
      </c>
      <c r="D29" s="32">
        <f t="shared" si="0"/>
        <v>400.77481177275837</v>
      </c>
      <c r="E29" s="302"/>
      <c r="F29" s="301"/>
      <c r="G29" s="293">
        <v>43917</v>
      </c>
      <c r="H29" s="32">
        <v>496</v>
      </c>
    </row>
    <row r="30" spans="1:19" x14ac:dyDescent="0.25">
      <c r="A30" s="92" t="s">
        <v>450</v>
      </c>
      <c r="B30" s="304">
        <v>121404</v>
      </c>
      <c r="C30" s="297">
        <f>B30/Projections!$B$316</f>
        <v>3.6726155633301115E-4</v>
      </c>
      <c r="D30" s="291">
        <f t="shared" si="0"/>
        <v>332.38603696098562</v>
      </c>
      <c r="E30" s="295">
        <v>44001</v>
      </c>
      <c r="F30" s="294">
        <v>121407</v>
      </c>
      <c r="G30" s="259">
        <v>43916</v>
      </c>
      <c r="H30" s="291">
        <v>354</v>
      </c>
    </row>
    <row r="31" spans="1:19" x14ac:dyDescent="0.25">
      <c r="A31" s="92" t="s">
        <v>4</v>
      </c>
      <c r="B31" s="304">
        <v>83564</v>
      </c>
      <c r="C31" s="297">
        <f>B31/Projections!$B$316</f>
        <v>2.5279105048772483E-4</v>
      </c>
      <c r="D31" s="291">
        <f t="shared" si="0"/>
        <v>228.78576317590691</v>
      </c>
      <c r="E31" s="295">
        <v>43963</v>
      </c>
      <c r="F31" s="294">
        <v>83718</v>
      </c>
      <c r="G31" s="259">
        <v>43914</v>
      </c>
      <c r="H31" s="291">
        <v>268</v>
      </c>
    </row>
    <row r="32" spans="1:19" x14ac:dyDescent="0.25">
      <c r="A32" s="92" t="s">
        <v>451</v>
      </c>
      <c r="B32" s="304">
        <v>55672</v>
      </c>
      <c r="C32" s="297">
        <f>B32/Projections!$B$316</f>
        <v>1.6841442921296988E-4</v>
      </c>
      <c r="D32" s="291">
        <f t="shared" si="0"/>
        <v>152.42162902121834</v>
      </c>
      <c r="E32" s="295">
        <v>43948</v>
      </c>
      <c r="F32" s="294">
        <v>56795</v>
      </c>
      <c r="G32" s="259">
        <v>43913</v>
      </c>
      <c r="H32" s="291">
        <v>180</v>
      </c>
    </row>
    <row r="33" spans="1:31" x14ac:dyDescent="0.25">
      <c r="A33" s="92" t="s">
        <v>454</v>
      </c>
      <c r="B33" s="304">
        <v>50633</v>
      </c>
      <c r="C33" s="297">
        <f>B33/Projections!$B$316</f>
        <v>1.5317085418774796E-4</v>
      </c>
      <c r="D33" s="291">
        <f t="shared" si="0"/>
        <v>138.62559890485969</v>
      </c>
      <c r="E33" s="295">
        <v>43945</v>
      </c>
      <c r="F33" s="294">
        <v>52191</v>
      </c>
      <c r="G33" s="259">
        <v>43913</v>
      </c>
      <c r="H33" s="291">
        <v>180</v>
      </c>
    </row>
    <row r="34" spans="1:31" x14ac:dyDescent="0.25">
      <c r="A34" s="92" t="s">
        <v>452</v>
      </c>
      <c r="B34" s="304">
        <v>47173</v>
      </c>
      <c r="C34" s="297">
        <f>B34/Projections!$B$316</f>
        <v>1.4270394218392421E-4</v>
      </c>
      <c r="D34" s="291">
        <f t="shared" si="0"/>
        <v>129.15263518138261</v>
      </c>
      <c r="E34" s="295">
        <v>43943</v>
      </c>
      <c r="F34" s="294">
        <v>47894</v>
      </c>
      <c r="G34" s="259">
        <v>43912</v>
      </c>
      <c r="H34" s="291">
        <v>135</v>
      </c>
    </row>
    <row r="35" spans="1:31" x14ac:dyDescent="0.25">
      <c r="B35" s="2"/>
    </row>
    <row r="36" spans="1:31" x14ac:dyDescent="0.25">
      <c r="A36" s="289" t="s">
        <v>456</v>
      </c>
      <c r="B36" s="2"/>
      <c r="N36" s="313"/>
      <c r="O36" s="313"/>
      <c r="P36" s="313"/>
      <c r="Q36" s="313"/>
      <c r="R36" s="313"/>
      <c r="S36" s="313"/>
    </row>
    <row r="37" spans="1:31" s="313" customFormat="1" ht="45" x14ac:dyDescent="0.25">
      <c r="A37" s="312" t="s">
        <v>462</v>
      </c>
      <c r="B37" s="312" t="s">
        <v>432</v>
      </c>
      <c r="C37" s="312" t="s">
        <v>433</v>
      </c>
      <c r="D37" s="312" t="s">
        <v>455</v>
      </c>
      <c r="E37" s="312" t="s">
        <v>443</v>
      </c>
      <c r="F37" s="312" t="s">
        <v>487</v>
      </c>
      <c r="G37" s="312" t="s">
        <v>498</v>
      </c>
      <c r="H37" s="312" t="s">
        <v>500</v>
      </c>
      <c r="N37"/>
      <c r="O37"/>
      <c r="P37"/>
      <c r="Q37"/>
      <c r="R37"/>
      <c r="S37"/>
    </row>
    <row r="38" spans="1:31" x14ac:dyDescent="0.25">
      <c r="A38" s="96" t="s">
        <v>494</v>
      </c>
      <c r="B38" s="332">
        <v>675000</v>
      </c>
      <c r="C38" s="334">
        <f>B38/106000000</f>
        <v>6.3679245283018871E-3</v>
      </c>
      <c r="D38" s="183">
        <f t="shared" ref="D38:D47" si="1">B38/365</f>
        <v>1849.3150684931506</v>
      </c>
      <c r="E38" s="96"/>
      <c r="F38" s="96"/>
      <c r="G38" s="333">
        <v>43928</v>
      </c>
      <c r="H38" s="183">
        <v>2228</v>
      </c>
      <c r="I38" t="s">
        <v>495</v>
      </c>
      <c r="N38" s="300"/>
      <c r="O38" s="300"/>
      <c r="P38" s="300"/>
      <c r="Q38" s="300"/>
      <c r="R38" s="300"/>
      <c r="S38" s="300"/>
    </row>
    <row r="39" spans="1:31" s="300" customFormat="1" x14ac:dyDescent="0.25">
      <c r="A39" s="308" t="s">
        <v>482</v>
      </c>
      <c r="B39" s="309">
        <v>116000</v>
      </c>
      <c r="C39" s="336">
        <f>B39/179323000</f>
        <v>6.4687742230500273E-4</v>
      </c>
      <c r="D39" s="291">
        <f t="shared" si="1"/>
        <v>317.8082191780822</v>
      </c>
      <c r="E39" s="295">
        <v>43992</v>
      </c>
      <c r="F39" s="294">
        <v>116825</v>
      </c>
      <c r="G39" s="259">
        <v>43916</v>
      </c>
      <c r="H39" s="291">
        <v>354</v>
      </c>
      <c r="I39" s="300" t="s">
        <v>502</v>
      </c>
      <c r="N39"/>
      <c r="O39"/>
      <c r="P39"/>
      <c r="Q39"/>
      <c r="R39"/>
      <c r="S39"/>
    </row>
    <row r="40" spans="1:31" x14ac:dyDescent="0.25">
      <c r="A40" s="308" t="s">
        <v>497</v>
      </c>
      <c r="B40" s="309">
        <v>100000</v>
      </c>
      <c r="C40" s="336">
        <f>B40/203200000</f>
        <v>4.921259842519685E-4</v>
      </c>
      <c r="D40" s="291">
        <f t="shared" si="1"/>
        <v>273.97260273972603</v>
      </c>
      <c r="E40" s="295">
        <v>43976</v>
      </c>
      <c r="F40" s="294">
        <v>100025</v>
      </c>
      <c r="G40" s="259">
        <v>43915</v>
      </c>
      <c r="H40" s="291">
        <v>303</v>
      </c>
      <c r="I40" t="s">
        <v>541</v>
      </c>
      <c r="Q40" s="283"/>
    </row>
    <row r="41" spans="1:31" x14ac:dyDescent="0.25">
      <c r="A41" s="308" t="s">
        <v>485</v>
      </c>
      <c r="B41" s="309">
        <v>61000</v>
      </c>
      <c r="C41" s="321">
        <f>B41/Projections!B316</f>
        <v>1.8453226365122797E-4</v>
      </c>
      <c r="D41" s="291">
        <f t="shared" si="1"/>
        <v>167.12328767123287</v>
      </c>
      <c r="E41" s="295">
        <v>43950</v>
      </c>
      <c r="F41" s="294">
        <v>61655</v>
      </c>
      <c r="G41" s="259">
        <v>43913</v>
      </c>
      <c r="H41" s="291">
        <v>180</v>
      </c>
      <c r="V41" s="69"/>
      <c r="W41" s="69"/>
      <c r="AE41" s="69"/>
    </row>
    <row r="42" spans="1:31" x14ac:dyDescent="0.25">
      <c r="A42" s="308" t="s">
        <v>484</v>
      </c>
      <c r="B42" s="309">
        <v>50000</v>
      </c>
      <c r="C42" s="321">
        <f>B42/Projections!B316</f>
        <v>1.5125595381248195E-4</v>
      </c>
      <c r="D42" s="291">
        <f>50000/365</f>
        <v>136.98630136986301</v>
      </c>
      <c r="E42" s="295">
        <v>43944</v>
      </c>
      <c r="F42" s="294">
        <v>50234</v>
      </c>
      <c r="G42" s="259">
        <v>43913</v>
      </c>
      <c r="H42" s="291">
        <v>180</v>
      </c>
      <c r="I42" t="s">
        <v>483</v>
      </c>
    </row>
    <row r="43" spans="1:31" x14ac:dyDescent="0.25">
      <c r="A43" s="92" t="s">
        <v>459</v>
      </c>
      <c r="B43" s="304">
        <v>15520</v>
      </c>
      <c r="C43" s="321">
        <f>B43/106100000</f>
        <v>1.4627709707822807E-4</v>
      </c>
      <c r="D43" s="291">
        <f>B43/(365*4)</f>
        <v>10.63013698630137</v>
      </c>
      <c r="E43" s="295">
        <v>43928</v>
      </c>
      <c r="F43" s="294">
        <v>15526</v>
      </c>
      <c r="G43" s="259">
        <v>43905</v>
      </c>
      <c r="H43" s="291">
        <v>15</v>
      </c>
    </row>
    <row r="44" spans="1:31" x14ac:dyDescent="0.25">
      <c r="A44" s="92" t="s">
        <v>496</v>
      </c>
      <c r="B44" s="304">
        <v>12469</v>
      </c>
      <c r="C44" s="321">
        <f>B44/308745000</f>
        <v>4.0386079126787482E-5</v>
      </c>
      <c r="D44" s="291">
        <f t="shared" si="1"/>
        <v>34.161643835616438</v>
      </c>
      <c r="E44" s="295">
        <v>43927</v>
      </c>
      <c r="F44" s="294">
        <v>13298</v>
      </c>
      <c r="G44" s="259">
        <v>43908</v>
      </c>
      <c r="H44" s="291">
        <v>50</v>
      </c>
      <c r="I44" t="s">
        <v>501</v>
      </c>
    </row>
    <row r="45" spans="1:31" x14ac:dyDescent="0.25">
      <c r="A45" s="92" t="s">
        <v>457</v>
      </c>
      <c r="B45" s="304">
        <v>10771</v>
      </c>
      <c r="C45" s="321">
        <f>B45/80000000</f>
        <v>1.3463750000000001E-4</v>
      </c>
      <c r="D45" s="291">
        <f t="shared" si="1"/>
        <v>29.509589041095889</v>
      </c>
      <c r="E45" s="295">
        <v>43926</v>
      </c>
      <c r="F45" s="294">
        <v>11793</v>
      </c>
      <c r="G45" s="259">
        <v>43908</v>
      </c>
      <c r="H45" s="291">
        <v>50</v>
      </c>
    </row>
    <row r="46" spans="1:31" x14ac:dyDescent="0.25">
      <c r="A46" s="92" t="s">
        <v>460</v>
      </c>
      <c r="B46" s="304">
        <v>10000</v>
      </c>
      <c r="C46" s="321">
        <f>B46/248710000</f>
        <v>4.0207470548027825E-5</v>
      </c>
      <c r="D46" s="291">
        <f>10000/(365*10)</f>
        <v>2.7397260273972601</v>
      </c>
      <c r="E46" s="295">
        <v>43925</v>
      </c>
      <c r="F46" s="294">
        <v>10384</v>
      </c>
      <c r="G46" s="259">
        <v>43892</v>
      </c>
      <c r="H46" s="291">
        <v>5</v>
      </c>
      <c r="I46" t="s">
        <v>461</v>
      </c>
    </row>
    <row r="47" spans="1:31" x14ac:dyDescent="0.25">
      <c r="A47" s="92" t="s">
        <v>458</v>
      </c>
      <c r="B47" s="304">
        <v>5000</v>
      </c>
      <c r="C47" s="335">
        <f>B47/3929200</f>
        <v>1.2725236689402422E-3</v>
      </c>
      <c r="D47" s="291">
        <f t="shared" si="1"/>
        <v>13.698630136986301</v>
      </c>
      <c r="E47" s="295">
        <v>43921</v>
      </c>
      <c r="F47" s="294">
        <v>5151</v>
      </c>
      <c r="G47" s="259">
        <v>43905</v>
      </c>
      <c r="H47" s="291">
        <v>15</v>
      </c>
    </row>
    <row r="48" spans="1:31" x14ac:dyDescent="0.25">
      <c r="A48" s="92" t="s">
        <v>486</v>
      </c>
      <c r="B48" s="304">
        <v>3145</v>
      </c>
      <c r="C48" s="321">
        <f>B48/151326000</f>
        <v>2.0782945429073657E-5</v>
      </c>
      <c r="D48" s="291">
        <f>B48/365</f>
        <v>8.6164383561643838</v>
      </c>
      <c r="E48" s="295">
        <v>43919</v>
      </c>
      <c r="F48" s="294">
        <v>3251</v>
      </c>
      <c r="G48" s="259">
        <v>43904</v>
      </c>
      <c r="H48" s="291">
        <v>10</v>
      </c>
    </row>
    <row r="50" spans="1:19" x14ac:dyDescent="0.25">
      <c r="A50" s="289" t="s">
        <v>463</v>
      </c>
      <c r="N50" s="313"/>
      <c r="O50" s="313"/>
      <c r="P50" s="313"/>
      <c r="Q50" s="313"/>
      <c r="R50" s="313"/>
      <c r="S50" s="313"/>
    </row>
    <row r="51" spans="1:19" s="313" customFormat="1" ht="45" x14ac:dyDescent="0.25">
      <c r="A51" s="312" t="s">
        <v>463</v>
      </c>
      <c r="B51" s="312" t="s">
        <v>432</v>
      </c>
      <c r="C51" s="312" t="s">
        <v>433</v>
      </c>
      <c r="D51" s="314"/>
      <c r="E51" s="312" t="s">
        <v>443</v>
      </c>
      <c r="F51" s="312" t="s">
        <v>487</v>
      </c>
      <c r="G51" s="312" t="s">
        <v>499</v>
      </c>
      <c r="H51" s="312" t="s">
        <v>500</v>
      </c>
      <c r="N51"/>
      <c r="O51"/>
      <c r="P51"/>
      <c r="Q51"/>
      <c r="R51"/>
      <c r="S51"/>
    </row>
    <row r="52" spans="1:19" x14ac:dyDescent="0.25">
      <c r="A52" s="92" t="s">
        <v>464</v>
      </c>
      <c r="B52" s="304">
        <v>12000</v>
      </c>
      <c r="C52" s="341">
        <f>B52/76212168</f>
        <v>1.5745517172533393E-4</v>
      </c>
      <c r="D52" s="92"/>
      <c r="E52" s="295">
        <v>43927</v>
      </c>
      <c r="F52" s="294">
        <v>13298</v>
      </c>
      <c r="G52" s="214"/>
    </row>
    <row r="53" spans="1:19" x14ac:dyDescent="0.25">
      <c r="A53" s="92" t="s">
        <v>465</v>
      </c>
      <c r="B53" s="304">
        <v>3389</v>
      </c>
      <c r="C53" s="341">
        <f>B53/76000000</f>
        <v>4.4592105263157893E-5</v>
      </c>
      <c r="D53" s="92"/>
      <c r="E53" s="295">
        <v>43920</v>
      </c>
      <c r="F53" s="294">
        <v>4066</v>
      </c>
    </row>
    <row r="54" spans="1:19" x14ac:dyDescent="0.25">
      <c r="A54" s="92" t="s">
        <v>466</v>
      </c>
      <c r="B54" s="304">
        <v>3000</v>
      </c>
      <c r="C54" s="341">
        <f>B54/80000000</f>
        <v>3.7499999999999997E-5</v>
      </c>
      <c r="D54" s="92"/>
      <c r="E54" s="295">
        <v>43919</v>
      </c>
      <c r="F54" s="294">
        <v>3251</v>
      </c>
    </row>
    <row r="55" spans="1:19" x14ac:dyDescent="0.25">
      <c r="A55" s="92" t="s">
        <v>467</v>
      </c>
      <c r="B55" s="304">
        <v>2996</v>
      </c>
      <c r="C55" s="341">
        <f>B55/281500000</f>
        <v>1.0642984014209592E-5</v>
      </c>
      <c r="D55" s="92"/>
      <c r="E55" s="295">
        <v>43919</v>
      </c>
      <c r="F55" s="294">
        <v>2996</v>
      </c>
    </row>
    <row r="56" spans="1:19" x14ac:dyDescent="0.25">
      <c r="A56" s="92" t="s">
        <v>468</v>
      </c>
      <c r="B56" s="304">
        <v>2982</v>
      </c>
      <c r="C56" s="341">
        <f>B56/330000000</f>
        <v>9.0363636363636366E-6</v>
      </c>
      <c r="D56" s="92"/>
      <c r="E56" s="295">
        <v>43919</v>
      </c>
      <c r="F56" s="294">
        <v>2996</v>
      </c>
    </row>
    <row r="57" spans="1:19" x14ac:dyDescent="0.25">
      <c r="A57" s="299" t="s">
        <v>469</v>
      </c>
      <c r="B57" s="305">
        <v>2823</v>
      </c>
      <c r="C57" s="342">
        <f>B57/123000000</f>
        <v>2.2951219512195121E-5</v>
      </c>
      <c r="D57" s="299"/>
      <c r="E57" s="298">
        <v>43919</v>
      </c>
      <c r="F57" s="303">
        <v>2996</v>
      </c>
      <c r="G57" s="39"/>
      <c r="H57" s="39"/>
    </row>
    <row r="58" spans="1:19" x14ac:dyDescent="0.25">
      <c r="A58" s="92" t="s">
        <v>474</v>
      </c>
      <c r="B58" s="304">
        <v>2500</v>
      </c>
      <c r="C58" s="341">
        <f>B58/38559000</f>
        <v>6.4835706320184657E-5</v>
      </c>
      <c r="D58" s="92"/>
      <c r="E58" s="295">
        <v>43918</v>
      </c>
      <c r="F58" s="296">
        <v>2754</v>
      </c>
      <c r="G58" s="259">
        <v>43935</v>
      </c>
      <c r="H58" s="291">
        <v>2566</v>
      </c>
    </row>
    <row r="59" spans="1:19" x14ac:dyDescent="0.25">
      <c r="A59" s="92" t="s">
        <v>470</v>
      </c>
      <c r="B59" s="304">
        <v>2467</v>
      </c>
      <c r="C59" s="341">
        <f>B59/132000000</f>
        <v>1.868939393939394E-5</v>
      </c>
      <c r="D59" s="92"/>
      <c r="E59" s="295">
        <v>43918</v>
      </c>
      <c r="F59" s="296">
        <v>2754</v>
      </c>
      <c r="G59" s="259">
        <v>43935</v>
      </c>
      <c r="H59" s="291">
        <v>2566</v>
      </c>
    </row>
    <row r="60" spans="1:19" x14ac:dyDescent="0.25">
      <c r="A60" s="92" t="s">
        <v>471</v>
      </c>
      <c r="B60" s="304">
        <v>2209</v>
      </c>
      <c r="C60" s="341">
        <f>B60/62970000</f>
        <v>3.5080196919167858E-5</v>
      </c>
      <c r="D60" s="92"/>
      <c r="E60" s="295">
        <v>43918</v>
      </c>
      <c r="F60" s="296">
        <v>2754</v>
      </c>
      <c r="G60" s="259">
        <v>43928</v>
      </c>
      <c r="H60" s="291">
        <v>2228</v>
      </c>
    </row>
    <row r="61" spans="1:19" x14ac:dyDescent="0.25">
      <c r="A61" s="92" t="s">
        <v>472</v>
      </c>
      <c r="B61" s="304">
        <v>2000</v>
      </c>
      <c r="C61" s="341">
        <f>B61/63000000</f>
        <v>3.1746031746031745E-5</v>
      </c>
      <c r="D61" s="92"/>
      <c r="E61" s="295">
        <v>43917</v>
      </c>
      <c r="F61" s="296">
        <v>2110</v>
      </c>
      <c r="G61" s="259">
        <v>43928</v>
      </c>
      <c r="H61" s="291">
        <v>2228</v>
      </c>
    </row>
    <row r="62" spans="1:19" x14ac:dyDescent="0.25">
      <c r="A62" s="92" t="s">
        <v>478</v>
      </c>
      <c r="B62" s="304">
        <v>2000</v>
      </c>
      <c r="C62" s="341">
        <f>B62/63000000</f>
        <v>3.1746031746031745E-5</v>
      </c>
      <c r="D62" s="92"/>
      <c r="E62" s="295">
        <v>43917</v>
      </c>
      <c r="F62" s="296">
        <v>2110</v>
      </c>
      <c r="G62" s="259">
        <v>43928</v>
      </c>
      <c r="H62" s="291">
        <v>2228</v>
      </c>
    </row>
    <row r="63" spans="1:19" x14ac:dyDescent="0.25">
      <c r="A63" s="92" t="s">
        <v>475</v>
      </c>
      <c r="B63" s="304">
        <v>1836</v>
      </c>
      <c r="C63" s="337">
        <f>B63/290000000</f>
        <v>6.3310344827586209E-6</v>
      </c>
      <c r="D63" s="92"/>
      <c r="E63" s="295">
        <v>43917</v>
      </c>
      <c r="F63" s="296">
        <v>2110</v>
      </c>
      <c r="G63" s="259">
        <v>43928</v>
      </c>
      <c r="H63" s="291">
        <v>2228</v>
      </c>
    </row>
    <row r="64" spans="1:19" x14ac:dyDescent="0.25">
      <c r="A64" s="92" t="s">
        <v>473</v>
      </c>
      <c r="B64" s="304">
        <v>1700</v>
      </c>
      <c r="C64" s="337">
        <f>B64/226545805</f>
        <v>7.5040012327749791E-6</v>
      </c>
      <c r="D64" s="92"/>
      <c r="E64" s="295">
        <v>43917</v>
      </c>
      <c r="F64" s="296">
        <v>2110</v>
      </c>
      <c r="G64" s="259">
        <v>43928</v>
      </c>
      <c r="H64" s="291">
        <v>2228</v>
      </c>
    </row>
    <row r="65" spans="1:8" x14ac:dyDescent="0.25">
      <c r="A65" s="92" t="s">
        <v>477</v>
      </c>
      <c r="B65" s="304">
        <v>1173</v>
      </c>
      <c r="C65" s="341">
        <f>B65/132164569</f>
        <v>8.8752984924424032E-6</v>
      </c>
      <c r="D65" s="92"/>
      <c r="E65" s="295">
        <v>43915</v>
      </c>
      <c r="F65" s="296">
        <v>1260</v>
      </c>
      <c r="G65" s="259">
        <v>43922</v>
      </c>
      <c r="H65" s="291">
        <v>1243</v>
      </c>
    </row>
    <row r="66" spans="1:8" x14ac:dyDescent="0.25">
      <c r="A66" s="92" t="s">
        <v>476</v>
      </c>
      <c r="B66" s="304">
        <v>1021</v>
      </c>
      <c r="C66" s="341">
        <f>B66/80000000</f>
        <v>1.27625E-5</v>
      </c>
      <c r="D66" s="92"/>
      <c r="E66" s="295">
        <v>43915</v>
      </c>
      <c r="F66" s="296">
        <v>1260</v>
      </c>
      <c r="G66" s="259">
        <v>43921</v>
      </c>
      <c r="H66" s="291">
        <v>1085</v>
      </c>
    </row>
    <row r="67" spans="1:8" x14ac:dyDescent="0.25">
      <c r="A67" s="92" t="s">
        <v>479</v>
      </c>
      <c r="B67" s="304">
        <v>1000</v>
      </c>
      <c r="C67" s="341">
        <f>B67/106021000</f>
        <v>9.4320936418256767E-6</v>
      </c>
      <c r="D67" s="92"/>
      <c r="E67" s="295">
        <v>43915</v>
      </c>
      <c r="F67" s="296">
        <v>1260</v>
      </c>
      <c r="G67" s="259">
        <v>43921</v>
      </c>
      <c r="H67" s="291">
        <v>1085</v>
      </c>
    </row>
    <row r="68" spans="1:8" x14ac:dyDescent="0.25">
      <c r="A68" s="92" t="s">
        <v>480</v>
      </c>
      <c r="B68" s="304">
        <v>918</v>
      </c>
      <c r="C68" s="337">
        <f>B68/226545000</f>
        <v>4.0521750645567108E-6</v>
      </c>
      <c r="D68" s="92"/>
      <c r="E68" s="295">
        <v>43914</v>
      </c>
      <c r="F68" s="294">
        <v>957</v>
      </c>
      <c r="G68" s="259">
        <v>43921</v>
      </c>
      <c r="H68" s="291">
        <v>1085</v>
      </c>
    </row>
  </sheetData>
  <sortState xmlns:xlrd2="http://schemas.microsoft.com/office/spreadsheetml/2017/richdata2" ref="A4:C19">
    <sortCondition descending="1" ref="B4:B19"/>
  </sortState>
  <hyperlinks>
    <hyperlink ref="A1" r:id="rId1" display="Major Conflicts" xr:uid="{83A0AE55-AFF8-446B-883E-C6E61E1C5C13}"/>
    <hyperlink ref="A22" r:id="rId2" xr:uid="{891243FE-E7B2-4F24-8F65-AD6D6ABE7E97}"/>
    <hyperlink ref="A36" r:id="rId3" xr:uid="{D75C70CF-9224-4A14-BFD5-EA9846096D44}"/>
    <hyperlink ref="A50" r:id="rId4" location="Over_400_deaths" xr:uid="{57DB3A83-257F-4226-9034-56E0E6EEB0DD}"/>
  </hyperlinks>
  <pageMargins left="0.7" right="0.7" top="0.75" bottom="0.75" header="0.3" footer="0.3"/>
  <pageSetup paperSize="9" orientation="portrait" horizontalDpi="0" verticalDpi="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Projections</vt:lpstr>
      <vt:lpstr>What if</vt:lpstr>
      <vt:lpstr>Population by Age - Wikipedia</vt:lpstr>
      <vt:lpstr>AU Infection Rate by Age</vt:lpstr>
      <vt:lpstr>US COVID-19 pathology</vt:lpstr>
      <vt:lpstr>US Deaths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2020-07-04T11:17:26Z</dcterms:modified>
</cp:coreProperties>
</file>