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3CEE38B6-0714-4469-9C91-81555911E78B}" xr6:coauthVersionLast="45" xr6:coauthVersionMax="45" xr10:uidLastSave="{00000000-0000-0000-0000-000000000000}"/>
  <bookViews>
    <workbookView xWindow="38280" yWindow="-120" windowWidth="38640" windowHeight="21240" xr2:uid="{B9AFA079-0671-40AD-860D-809D829A87F1}"/>
  </bookViews>
  <sheets>
    <sheet name="Data Summaries" sheetId="1" r:id="rId1"/>
    <sheet name="AU Pop" sheetId="2" r:id="rId2"/>
    <sheet name="A&amp;TSI Pop" sheetId="7" r:id="rId3"/>
    <sheet name="Prison Pop" sheetId="3" r:id="rId4"/>
    <sheet name="Prison Chronic Condi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6" i="1" l="1"/>
  <c r="AC47" i="1"/>
  <c r="AC48" i="1"/>
  <c r="AC49" i="1"/>
  <c r="AC50" i="1"/>
  <c r="C89" i="1" s="1"/>
  <c r="AC45" i="1"/>
  <c r="Y45" i="1"/>
  <c r="T46" i="1"/>
  <c r="T47" i="1"/>
  <c r="T48" i="1"/>
  <c r="T49" i="1"/>
  <c r="T50" i="1"/>
  <c r="G89" i="1" s="1"/>
  <c r="T45" i="1"/>
  <c r="O46" i="1"/>
  <c r="K46" i="1"/>
  <c r="K47" i="1"/>
  <c r="K48" i="1"/>
  <c r="K49" i="1"/>
  <c r="K50" i="1"/>
  <c r="K45" i="1"/>
  <c r="C85" i="1"/>
  <c r="C86" i="1"/>
  <c r="C87" i="1"/>
  <c r="C88" i="1"/>
  <c r="E86" i="1"/>
  <c r="E87" i="1"/>
  <c r="E88" i="1"/>
  <c r="E89" i="1"/>
  <c r="E85" i="1"/>
  <c r="E90" i="1" s="1"/>
  <c r="G86" i="1"/>
  <c r="G87" i="1"/>
  <c r="G88" i="1"/>
  <c r="G85" i="1"/>
  <c r="K97" i="1"/>
  <c r="J97" i="1"/>
  <c r="AE41" i="1"/>
  <c r="AE48" i="1"/>
  <c r="C90" i="1" l="1"/>
  <c r="G90" i="1"/>
  <c r="J85" i="1"/>
  <c r="B121" i="1" l="1"/>
  <c r="B120" i="1"/>
  <c r="D107" i="2" l="1"/>
  <c r="C107" i="2"/>
  <c r="B50" i="1" s="1"/>
  <c r="C44" i="1"/>
  <c r="B44" i="1"/>
  <c r="H22" i="2"/>
  <c r="G22" i="2"/>
  <c r="O60" i="1"/>
  <c r="O59" i="1"/>
  <c r="O58" i="1"/>
  <c r="O57" i="1"/>
  <c r="X57" i="1" s="1"/>
  <c r="O56" i="1"/>
  <c r="X56" i="1" s="1"/>
  <c r="O55" i="1"/>
  <c r="X55" i="1" s="1"/>
  <c r="N60" i="1"/>
  <c r="N59" i="1"/>
  <c r="N58" i="1"/>
  <c r="N57" i="1"/>
  <c r="N55" i="1"/>
  <c r="N56" i="1"/>
  <c r="M60" i="1"/>
  <c r="M59" i="1"/>
  <c r="M58" i="1"/>
  <c r="V58" i="1" s="1"/>
  <c r="M57" i="1"/>
  <c r="V57" i="1" s="1"/>
  <c r="M56" i="1"/>
  <c r="M55" i="1"/>
  <c r="F60" i="1"/>
  <c r="F59" i="1"/>
  <c r="F58" i="1"/>
  <c r="F57" i="1"/>
  <c r="F56" i="1"/>
  <c r="F55" i="1"/>
  <c r="E60" i="1"/>
  <c r="E59" i="1"/>
  <c r="E58" i="1"/>
  <c r="E57" i="1"/>
  <c r="E56" i="1"/>
  <c r="E55" i="1"/>
  <c r="D55" i="1"/>
  <c r="D56" i="1"/>
  <c r="D60" i="1"/>
  <c r="D59" i="1"/>
  <c r="D58" i="1"/>
  <c r="D57" i="1"/>
  <c r="O50" i="1"/>
  <c r="O49" i="1"/>
  <c r="O48" i="1"/>
  <c r="O47" i="1"/>
  <c r="X47" i="1" s="1"/>
  <c r="N47" i="1"/>
  <c r="W47" i="1" s="1"/>
  <c r="N50" i="1"/>
  <c r="N49" i="1"/>
  <c r="N48" i="1"/>
  <c r="N46" i="1"/>
  <c r="M50" i="1"/>
  <c r="M49" i="1"/>
  <c r="M48" i="1"/>
  <c r="M47" i="1"/>
  <c r="M46" i="1"/>
  <c r="F50" i="1"/>
  <c r="F49" i="1"/>
  <c r="F48" i="1"/>
  <c r="F47" i="1"/>
  <c r="F46" i="1"/>
  <c r="E50" i="1"/>
  <c r="E49" i="1"/>
  <c r="E48" i="1"/>
  <c r="E47" i="1"/>
  <c r="E46" i="1"/>
  <c r="D50" i="1"/>
  <c r="D49" i="1"/>
  <c r="D48" i="1"/>
  <c r="D47" i="1"/>
  <c r="D46" i="1"/>
  <c r="F44" i="1"/>
  <c r="F43" i="1"/>
  <c r="E44" i="1"/>
  <c r="E43" i="1"/>
  <c r="D44" i="1"/>
  <c r="I9" i="7"/>
  <c r="D43" i="1"/>
  <c r="O44" i="1"/>
  <c r="O43" i="1"/>
  <c r="N44" i="1"/>
  <c r="N43" i="1"/>
  <c r="M44" i="1"/>
  <c r="V44" i="1" s="1"/>
  <c r="M43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R60" i="1"/>
  <c r="R56" i="1"/>
  <c r="P60" i="1"/>
  <c r="P59" i="1"/>
  <c r="C60" i="1"/>
  <c r="B60" i="1"/>
  <c r="C58" i="1"/>
  <c r="C59" i="1"/>
  <c r="B59" i="1"/>
  <c r="B58" i="1"/>
  <c r="C57" i="1"/>
  <c r="B57" i="1"/>
  <c r="C56" i="1"/>
  <c r="B56" i="1"/>
  <c r="C55" i="1"/>
  <c r="B55" i="1"/>
  <c r="C45" i="1"/>
  <c r="B45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I60" i="1" s="1"/>
  <c r="M82" i="3"/>
  <c r="I59" i="1" s="1"/>
  <c r="M80" i="3"/>
  <c r="I58" i="1" s="1"/>
  <c r="M78" i="3"/>
  <c r="I57" i="1" s="1"/>
  <c r="M76" i="3"/>
  <c r="I56" i="1" s="1"/>
  <c r="M68" i="3"/>
  <c r="G60" i="1" s="1"/>
  <c r="M65" i="3"/>
  <c r="G59" i="1" s="1"/>
  <c r="M63" i="3"/>
  <c r="G58" i="1" s="1"/>
  <c r="M61" i="3"/>
  <c r="G57" i="1" s="1"/>
  <c r="M59" i="3"/>
  <c r="G56" i="1" s="1"/>
  <c r="M50" i="3"/>
  <c r="M47" i="3"/>
  <c r="M45" i="3"/>
  <c r="M43" i="3"/>
  <c r="M41" i="3"/>
  <c r="M33" i="3"/>
  <c r="M30" i="3"/>
  <c r="R59" i="1" s="1"/>
  <c r="M28" i="3"/>
  <c r="R58" i="1" s="1"/>
  <c r="M26" i="3"/>
  <c r="R57" i="1" s="1"/>
  <c r="M24" i="3"/>
  <c r="M16" i="3"/>
  <c r="M13" i="3"/>
  <c r="M11" i="3"/>
  <c r="P58" i="1" s="1"/>
  <c r="M9" i="3"/>
  <c r="P57" i="1" s="1"/>
  <c r="M7" i="3"/>
  <c r="P56" i="1" s="1"/>
  <c r="L98" i="3"/>
  <c r="L27" i="3"/>
  <c r="L6" i="3"/>
  <c r="W43" i="1" l="1"/>
  <c r="V59" i="1"/>
  <c r="V56" i="1"/>
  <c r="X43" i="1"/>
  <c r="X48" i="1"/>
  <c r="V46" i="1"/>
  <c r="J58" i="1"/>
  <c r="W48" i="1"/>
  <c r="W58" i="1"/>
  <c r="J59" i="1"/>
  <c r="W49" i="1"/>
  <c r="W59" i="1"/>
  <c r="J60" i="1"/>
  <c r="V43" i="1"/>
  <c r="W60" i="1"/>
  <c r="Y60" i="1"/>
  <c r="Q60" i="1"/>
  <c r="Y59" i="1"/>
  <c r="Q59" i="1"/>
  <c r="T59" i="1" s="1"/>
  <c r="U59" i="1" s="1"/>
  <c r="Q56" i="1"/>
  <c r="T56" i="1" s="1"/>
  <c r="U56" i="1" s="1"/>
  <c r="Y56" i="1"/>
  <c r="AA56" i="1"/>
  <c r="S56" i="1"/>
  <c r="W50" i="1"/>
  <c r="Q57" i="1"/>
  <c r="T57" i="1" s="1"/>
  <c r="U57" i="1" s="1"/>
  <c r="Y57" i="1"/>
  <c r="Z57" i="1" s="1"/>
  <c r="S60" i="1"/>
  <c r="AA60" i="1"/>
  <c r="V55" i="1"/>
  <c r="X46" i="1"/>
  <c r="X58" i="1"/>
  <c r="H57" i="1"/>
  <c r="K57" i="1" s="1"/>
  <c r="L57" i="1" s="1"/>
  <c r="X44" i="1"/>
  <c r="V47" i="1"/>
  <c r="X49" i="1"/>
  <c r="X59" i="1"/>
  <c r="W44" i="1"/>
  <c r="AA57" i="1"/>
  <c r="S57" i="1"/>
  <c r="H59" i="1"/>
  <c r="K59" i="1" s="1"/>
  <c r="L59" i="1" s="1"/>
  <c r="V48" i="1"/>
  <c r="X50" i="1"/>
  <c r="V60" i="1"/>
  <c r="X60" i="1"/>
  <c r="Q58" i="1"/>
  <c r="T58" i="1" s="1"/>
  <c r="U58" i="1" s="1"/>
  <c r="Y58" i="1"/>
  <c r="Z58" i="1" s="1"/>
  <c r="H56" i="1"/>
  <c r="K56" i="1" s="1"/>
  <c r="L56" i="1" s="1"/>
  <c r="H58" i="1"/>
  <c r="K58" i="1" s="1"/>
  <c r="L58" i="1" s="1"/>
  <c r="AA58" i="1"/>
  <c r="S58" i="1"/>
  <c r="H60" i="1"/>
  <c r="K60" i="1" s="1"/>
  <c r="L60" i="1" s="1"/>
  <c r="V49" i="1"/>
  <c r="W56" i="1"/>
  <c r="S59" i="1"/>
  <c r="AA59" i="1"/>
  <c r="J56" i="1"/>
  <c r="V50" i="1"/>
  <c r="W55" i="1"/>
  <c r="J57" i="1"/>
  <c r="W46" i="1"/>
  <c r="W57" i="1"/>
  <c r="T60" i="1"/>
  <c r="U60" i="1" s="1"/>
  <c r="I19" i="7"/>
  <c r="K14" i="7"/>
  <c r="K18" i="7"/>
  <c r="I15" i="7"/>
  <c r="C62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G50" i="1" s="1"/>
  <c r="H50" i="1" s="1"/>
  <c r="G47" i="1"/>
  <c r="H47" i="1" s="1"/>
  <c r="R47" i="1"/>
  <c r="P48" i="1"/>
  <c r="P47" i="1"/>
  <c r="P46" i="1"/>
  <c r="P45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I50" i="1" s="1"/>
  <c r="J50" i="1" s="1"/>
  <c r="L83" i="3"/>
  <c r="I49" i="1" s="1"/>
  <c r="J49" i="1" s="1"/>
  <c r="L81" i="3"/>
  <c r="I48" i="1" s="1"/>
  <c r="J48" i="1" s="1"/>
  <c r="L79" i="3"/>
  <c r="I47" i="1" s="1"/>
  <c r="J47" i="1" s="1"/>
  <c r="L77" i="3"/>
  <c r="I46" i="1" s="1"/>
  <c r="J46" i="1" s="1"/>
  <c r="L75" i="3"/>
  <c r="I45" i="1" s="1"/>
  <c r="L66" i="3"/>
  <c r="G49" i="1" s="1"/>
  <c r="H49" i="1" s="1"/>
  <c r="L64" i="3"/>
  <c r="G48" i="1" s="1"/>
  <c r="H48" i="1" s="1"/>
  <c r="L62" i="3"/>
  <c r="L60" i="3"/>
  <c r="G46" i="1" s="1"/>
  <c r="L58" i="3"/>
  <c r="G45" i="1" s="1"/>
  <c r="L50" i="3"/>
  <c r="L48" i="3"/>
  <c r="L46" i="3"/>
  <c r="L44" i="3"/>
  <c r="L42" i="3"/>
  <c r="L40" i="3"/>
  <c r="L33" i="3"/>
  <c r="R50" i="1" s="1"/>
  <c r="L31" i="3"/>
  <c r="R49" i="1" s="1"/>
  <c r="L29" i="3"/>
  <c r="R48" i="1" s="1"/>
  <c r="L25" i="3"/>
  <c r="R46" i="1" s="1"/>
  <c r="L23" i="3"/>
  <c r="R45" i="1" s="1"/>
  <c r="L16" i="3"/>
  <c r="P50" i="1" s="1"/>
  <c r="L14" i="3"/>
  <c r="P49" i="1" s="1"/>
  <c r="L12" i="3"/>
  <c r="L10" i="3"/>
  <c r="L8" i="3"/>
  <c r="B43" i="1"/>
  <c r="B46" i="1"/>
  <c r="B47" i="1"/>
  <c r="B48" i="1"/>
  <c r="B49" i="1"/>
  <c r="C49" i="1"/>
  <c r="C48" i="1"/>
  <c r="C47" i="1"/>
  <c r="C46" i="1"/>
  <c r="C43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AB58" i="1" l="1"/>
  <c r="AB59" i="1"/>
  <c r="AB60" i="1"/>
  <c r="AB56" i="1"/>
  <c r="S48" i="1"/>
  <c r="AA48" i="1"/>
  <c r="AB48" i="1" s="1"/>
  <c r="Z56" i="1"/>
  <c r="AC56" i="1" s="1"/>
  <c r="AA49" i="1"/>
  <c r="AB49" i="1" s="1"/>
  <c r="S49" i="1"/>
  <c r="AA50" i="1"/>
  <c r="AB50" i="1" s="1"/>
  <c r="S50" i="1"/>
  <c r="Q49" i="1"/>
  <c r="Y49" i="1"/>
  <c r="Y46" i="1"/>
  <c r="Q46" i="1"/>
  <c r="Z59" i="1"/>
  <c r="AC59" i="1"/>
  <c r="Y50" i="1"/>
  <c r="Q50" i="1"/>
  <c r="U50" i="1" s="1"/>
  <c r="Y47" i="1"/>
  <c r="Q47" i="1"/>
  <c r="U47" i="1" s="1"/>
  <c r="AB57" i="1"/>
  <c r="H46" i="1"/>
  <c r="L46" i="1" s="1"/>
  <c r="Q48" i="1"/>
  <c r="U48" i="1" s="1"/>
  <c r="Y48" i="1"/>
  <c r="AA45" i="1"/>
  <c r="AA46" i="1"/>
  <c r="AB46" i="1" s="1"/>
  <c r="S46" i="1"/>
  <c r="S47" i="1"/>
  <c r="AA47" i="1"/>
  <c r="AB47" i="1" s="1"/>
  <c r="AC58" i="1"/>
  <c r="AC57" i="1"/>
  <c r="Z60" i="1"/>
  <c r="AC60" i="1" s="1"/>
  <c r="L49" i="1"/>
  <c r="L50" i="1"/>
  <c r="U49" i="1"/>
  <c r="L48" i="1"/>
  <c r="L47" i="1"/>
  <c r="C50" i="1"/>
  <c r="D27" i="1"/>
  <c r="I27" i="1" s="1"/>
  <c r="C79" i="1" s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B13" i="1"/>
  <c r="B79" i="1" l="1"/>
  <c r="D79" i="1" s="1"/>
  <c r="B97" i="1"/>
  <c r="B96" i="1"/>
  <c r="B78" i="1"/>
  <c r="B89" i="1"/>
  <c r="C7" i="1"/>
  <c r="C22" i="1"/>
  <c r="E23" i="1"/>
  <c r="E26" i="1"/>
  <c r="B98" i="1"/>
  <c r="AD57" i="1"/>
  <c r="B101" i="1"/>
  <c r="B99" i="1"/>
  <c r="AD60" i="1"/>
  <c r="B104" i="1"/>
  <c r="AD58" i="1"/>
  <c r="B102" i="1"/>
  <c r="AD59" i="1"/>
  <c r="B103" i="1"/>
  <c r="AD56" i="1"/>
  <c r="B100" i="1"/>
  <c r="J25" i="1"/>
  <c r="J24" i="1"/>
  <c r="U46" i="1"/>
  <c r="AE50" i="1"/>
  <c r="AE52" i="1" s="1"/>
  <c r="Z47" i="1"/>
  <c r="AD47" i="1" s="1"/>
  <c r="Z48" i="1"/>
  <c r="AD48" i="1" s="1"/>
  <c r="Z50" i="1"/>
  <c r="AD50" i="1" s="1"/>
  <c r="Z46" i="1"/>
  <c r="AD46" i="1" s="1"/>
  <c r="AE43" i="1"/>
  <c r="AE45" i="1" s="1"/>
  <c r="Z49" i="1"/>
  <c r="AD49" i="1" s="1"/>
  <c r="J21" i="1"/>
  <c r="B86" i="1" s="1"/>
  <c r="J22" i="1"/>
  <c r="B87" i="1" s="1"/>
  <c r="J20" i="1"/>
  <c r="B85" i="1" s="1"/>
  <c r="J23" i="1"/>
  <c r="B88" i="1" s="1"/>
  <c r="J18" i="1"/>
  <c r="J19" i="1"/>
  <c r="J26" i="1"/>
  <c r="H27" i="1"/>
  <c r="C78" i="1" s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D78" i="1" l="1"/>
  <c r="H88" i="1"/>
  <c r="D88" i="1"/>
  <c r="F88" i="1"/>
  <c r="H87" i="1"/>
  <c r="F87" i="1"/>
  <c r="D87" i="1"/>
  <c r="H85" i="1"/>
  <c r="F85" i="1"/>
  <c r="D85" i="1"/>
  <c r="D86" i="1"/>
  <c r="F86" i="1"/>
  <c r="H86" i="1"/>
  <c r="G26" i="1"/>
  <c r="J27" i="1"/>
  <c r="W104" i="1"/>
  <c r="D104" i="1"/>
  <c r="Y104" i="1"/>
  <c r="G104" i="1"/>
  <c r="H104" i="1" s="1"/>
  <c r="J104" i="1"/>
  <c r="K104" i="1" s="1"/>
  <c r="M104" i="1"/>
  <c r="N104" i="1" s="1"/>
  <c r="U104" i="1"/>
  <c r="Y101" i="1"/>
  <c r="G101" i="1"/>
  <c r="H101" i="1" s="1"/>
  <c r="J101" i="1"/>
  <c r="K101" i="1" s="1"/>
  <c r="M101" i="1"/>
  <c r="N101" i="1" s="1"/>
  <c r="U101" i="1"/>
  <c r="W101" i="1"/>
  <c r="D101" i="1"/>
  <c r="U97" i="1"/>
  <c r="W97" i="1"/>
  <c r="M97" i="1"/>
  <c r="N97" i="1" s="1"/>
  <c r="Y97" i="1"/>
  <c r="D97" i="1"/>
  <c r="G97" i="1"/>
  <c r="H97" i="1" s="1"/>
  <c r="D102" i="1"/>
  <c r="Y102" i="1"/>
  <c r="G102" i="1"/>
  <c r="H102" i="1" s="1"/>
  <c r="J102" i="1"/>
  <c r="K102" i="1" s="1"/>
  <c r="M102" i="1"/>
  <c r="N102" i="1" s="1"/>
  <c r="U102" i="1"/>
  <c r="W102" i="1"/>
  <c r="J99" i="1"/>
  <c r="K99" i="1" s="1"/>
  <c r="U99" i="1"/>
  <c r="W99" i="1"/>
  <c r="G99" i="1"/>
  <c r="H99" i="1" s="1"/>
  <c r="M99" i="1"/>
  <c r="N99" i="1" s="1"/>
  <c r="Y99" i="1"/>
  <c r="D99" i="1"/>
  <c r="G100" i="1"/>
  <c r="H100" i="1" s="1"/>
  <c r="J100" i="1"/>
  <c r="K100" i="1" s="1"/>
  <c r="M100" i="1"/>
  <c r="N100" i="1" s="1"/>
  <c r="U100" i="1"/>
  <c r="W100" i="1"/>
  <c r="Y100" i="1"/>
  <c r="D100" i="1"/>
  <c r="U98" i="1"/>
  <c r="W98" i="1"/>
  <c r="G98" i="1"/>
  <c r="H98" i="1" s="1"/>
  <c r="Y98" i="1"/>
  <c r="M98" i="1"/>
  <c r="N98" i="1" s="1"/>
  <c r="J98" i="1"/>
  <c r="K98" i="1" s="1"/>
  <c r="D98" i="1"/>
  <c r="W96" i="1"/>
  <c r="D96" i="1"/>
  <c r="Y96" i="1"/>
  <c r="M96" i="1"/>
  <c r="N96" i="1" s="1"/>
  <c r="J96" i="1"/>
  <c r="K96" i="1" s="1"/>
  <c r="G96" i="1"/>
  <c r="H96" i="1" s="1"/>
  <c r="U96" i="1"/>
  <c r="D103" i="1"/>
  <c r="Y103" i="1"/>
  <c r="G103" i="1"/>
  <c r="H103" i="1" s="1"/>
  <c r="J103" i="1"/>
  <c r="K103" i="1" s="1"/>
  <c r="M103" i="1"/>
  <c r="N103" i="1" s="1"/>
  <c r="U103" i="1"/>
  <c r="W103" i="1"/>
  <c r="H89" i="1"/>
  <c r="D89" i="1"/>
  <c r="F89" i="1"/>
  <c r="B28" i="1"/>
  <c r="D14" i="1"/>
  <c r="B14" i="1"/>
  <c r="G23" i="1"/>
  <c r="D28" i="1"/>
  <c r="G9" i="1"/>
  <c r="G8" i="1"/>
  <c r="G5" i="1"/>
  <c r="G6" i="1"/>
  <c r="G7" i="1"/>
  <c r="G22" i="1"/>
  <c r="G21" i="1"/>
  <c r="G18" i="1"/>
  <c r="G20" i="1"/>
  <c r="G24" i="1"/>
  <c r="G19" i="1"/>
  <c r="G11" i="1"/>
  <c r="G12" i="1"/>
  <c r="G4" i="1"/>
  <c r="G25" i="1"/>
  <c r="G10" i="1"/>
  <c r="F90" i="1" l="1"/>
  <c r="F91" i="1" s="1"/>
  <c r="D90" i="1"/>
  <c r="D91" i="1" s="1"/>
  <c r="H90" i="1"/>
  <c r="H91" i="1" s="1"/>
  <c r="O100" i="1"/>
  <c r="E100" i="1"/>
  <c r="P100" i="1" s="1"/>
  <c r="O103" i="1"/>
  <c r="E103" i="1"/>
  <c r="P103" i="1" s="1"/>
  <c r="E97" i="1"/>
  <c r="P97" i="1" s="1"/>
  <c r="O97" i="1"/>
  <c r="O99" i="1"/>
  <c r="E99" i="1"/>
  <c r="P99" i="1" s="1"/>
  <c r="O102" i="1"/>
  <c r="E102" i="1"/>
  <c r="P102" i="1" s="1"/>
  <c r="E96" i="1"/>
  <c r="P96" i="1" s="1"/>
  <c r="O96" i="1"/>
  <c r="O101" i="1"/>
  <c r="E101" i="1"/>
  <c r="P101" i="1" s="1"/>
  <c r="O104" i="1"/>
  <c r="E104" i="1"/>
  <c r="P104" i="1" s="1"/>
  <c r="O98" i="1"/>
  <c r="E98" i="1"/>
  <c r="P98" i="1" s="1"/>
  <c r="P105" i="1" l="1"/>
  <c r="O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56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E56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56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M56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N56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56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<sst xmlns="http://schemas.openxmlformats.org/spreadsheetml/2006/main" count="659" uniqueCount="289">
  <si>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</si>
  <si>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</si>
  <si>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</si>
  <si>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</si>
  <si>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</si>
  <si>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</si>
  <si>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</si>
  <si>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</si>
  <si>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</si>
  <si>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</si>
  <si>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</si>
  <si>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</si>
  <si>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</si>
  <si>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</si>
  <si>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</si>
  <si>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</si>
  <si>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</si>
  <si>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</si>
  <si>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</si>
  <si>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</si>
  <si>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</si>
  <si>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</si>
  <si>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</si>
  <si>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</si>
  <si>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</si>
  <si>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</si>
  <si>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</si>
  <si>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</si>
  <si>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</si>
  <si>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</si>
  <si>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</si>
  <si>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</si>
  <si>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</si>
  <si>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</si>
  <si>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</si>
  <si>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</si>
  <si>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</si>
  <si>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</si>
  <si>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</si>
  <si>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</si>
  <si>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</si>
  <si>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</si>
  <si>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</si>
  <si>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</si>
  <si>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</si>
  <si>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</si>
  <si>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</si>
  <si>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</si>
  <si>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</si>
  <si>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</si>
  <si>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</si>
  <si>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</si>
  <si>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</si>
  <si>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</si>
  <si>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</si>
  <si>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</si>
  <si>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</si>
  <si>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</si>
  <si>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</si>
  <si>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</si>
  <si>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</si>
  <si>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</si>
  <si>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</si>
  <si>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</si>
  <si>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</si>
  <si>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</si>
  <si>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</si>
  <si>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</si>
  <si>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</si>
  <si>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</si>
  <si>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</si>
  <si>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</si>
  <si>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</si>
  <si>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</si>
  <si>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</si>
  <si>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</si>
  <si>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</si>
  <si>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</si>
  <si>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</si>
  <si>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</si>
  <si>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</si>
  <si>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</si>
  <si>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</si>
  <si>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</si>
  <si>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</si>
  <si>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</si>
  <si>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</si>
  <si>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</si>
  <si>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</si>
  <si>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</si>
  <si>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</si>
  <si>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</si>
  <si>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</si>
  <si>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</si>
  <si>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</si>
  <si>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</si>
  <si>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</si>
  <si>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</si>
  <si>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</si>
  <si>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</si>
  <si>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</si>
  <si>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</si>
  <si>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</si>
  <si>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</si>
  <si>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</si>
  <si>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</si>
  <si>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</si>
  <si>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</si>
  <si>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</si>
  <si>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</si>
  <si>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</si>
  <si>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</si>
  <si>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</si>
  <si>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</si>
  <si>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</si>
  <si>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</si>
  <si>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</si>
  <si>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</si>
  <si>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</si>
  <si>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</si>
  <si>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</si>
  <si>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</si>
  <si>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</si>
  <si>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</si>
  <si>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</si>
  <si>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</si>
  <si>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</si>
  <si>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</si>
  <si>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</si>
  <si>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</si>
  <si>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</si>
  <si>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</si>
  <si>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</si>
  <si>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</si>
  <si>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</si>
  <si>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</si>
  <si>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</si>
  <si>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</si>
  <si>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</si>
  <si>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</si>
  <si>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</si>
  <si>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</si>
  <si>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</si>
  <si>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</si>
  <si>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</si>
  <si>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</si>
  <si>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</si>
  <si>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</si>
  <si>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</si>
  <si>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</si>
  <si>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</si>
  <si>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</si>
  <si>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</si>
  <si>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</si>
  <si>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</si>
  <si>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</si>
  <si>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</si>
  <si>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</si>
  <si>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</si>
  <si>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</si>
  <si>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</si>
  <si>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</si>
  <si>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</si>
  <si>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</si>
  <si>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</si>
  <si>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</si>
  <si>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</si>
  <si>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</si>
  <si>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</si>
  <si>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</si>
  <si>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</si>
  <si>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</si>
  <si>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</si>
  <si>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</si>
  <si>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</si>
  <si>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</si>
  <si>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</si>
  <si>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</si>
  <si>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</si>
  <si>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</si>
  <si>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</si>
  <si>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</si>
  <si>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</si>
  <si>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</si>
  <si>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</si>
  <si>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</si>
  <si>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</si>
  <si>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</si>
  <si>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</si>
  <si>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</si>
  <si>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</si>
  <si>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</si>
  <si>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</si>
  <si>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</si>
  <si>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</si>
  <si>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</si>
  <si>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</si>
  <si>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</si>
  <si>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</si>
  <si>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</si>
  <si>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</si>
  <si>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</si>
  <si>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</si>
  <si>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</si>
  <si>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</si>
  <si>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</si>
  <si>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</si>
  <si>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</si>
  <si>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</si>
  <si>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</si>
  <si>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</si>
  <si>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</si>
  <si>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</si>
  <si>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</si>
  <si>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</si>
  <si>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</si>
  <si>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</si>
  <si>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</si>
  <si>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</si>
  <si>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</si>
  <si>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</si>
  <si>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</si>
  <si>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</si>
  <si>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</si>
  <si>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</si>
  <si>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</si>
  <si>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</si>
  <si>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</si>
  <si>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</si>
  <si>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</si>
  <si>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</si>
  <si>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</si>
  <si>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</si>
  <si>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</si>
  <si>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</si>
  <si>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</si>
  <si>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</si>
  <si>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</si>
  <si>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</si>
  <si>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</si>
  <si>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</si>
  <si>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</si>
  <si>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</si>
  <si>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</si>
  <si>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</si>
  <si>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</si>
  <si>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</si>
  <si>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</si>
  <si>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</si>
  <si>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</si>
  <si>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</si>
  <si>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</si>
  <si>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</si>
  <si>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</si>
  <si>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</si>
  <si>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</si>
  <si>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</si>
  <si>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</si>
  <si>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</si>
  <si>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</si>
  <si>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</si>
  <si>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</si>
  <si>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</si>
  <si>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</si>
  <si>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</si>
  <si>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</si>
  <si>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</si>
  <si>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</si>
  <si>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</si>
  <si>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</si>
  <si>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</si>
  <si>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</si>
  <si>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</si>
  <si>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</si>
  <si>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</si>
  <si>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</si>
  <si>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</si>
  <si>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</si>
  <si>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</si>
  <si>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</si>
  <si>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AU Confirmed Cases 7/5/2019</t>
  </si>
  <si>
    <t>AU Deaths 7/5/2020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</si>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</sst>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</borders>
  <cellStyleXfs count="70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</cellStyleXfs>
  <cellXfs count="240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13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</cellXfs>
  <cellStyles count="70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F140"/>
  <sheetViews>
    <sheetView tabSelected="1" topLeftCell="A22" workbookViewId="0">
      <selection activeCell="AC45" sqref="AC45:AC50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10" max="10" width="9" customWidth="1"/>
    <col min="31" max="31" width="10.140625" bestFit="1" customWidth="1"/>
  </cols>
  <sheetData>
    <row r="2" spans="1:10">
      <c r="A2" s="46" t="s">
        <v>280</v>
      </c>
    </row>
    <row r="3" spans="1:10">
      <c r="B3" s="178" t="s">
        <v>9</v>
      </c>
      <c r="C3" s="180"/>
      <c r="D3" s="178" t="s">
        <v>10</v>
      </c>
      <c r="E3" s="180"/>
      <c r="F3" s="178" t="s">
        <v>11</v>
      </c>
      <c r="G3" s="180"/>
    </row>
    <row r="4" spans="1:10">
      <c r="A4" s="1" t="s">
        <v>0</v>
      </c>
      <c r="B4" s="52">
        <v>36</v>
      </c>
      <c r="C4" s="57">
        <f>B4/$B$13</f>
        <v>1.1439466158245948E-2</v>
      </c>
      <c r="D4" s="50">
        <v>34</v>
      </c>
      <c r="E4" s="57">
        <f>D4/$D$13</f>
        <v>1.0904425914047467E-2</v>
      </c>
      <c r="F4" s="52">
        <f>SUM(B4,D4)</f>
        <v>70</v>
      </c>
      <c r="G4" s="57">
        <f>F4/$F$13</f>
        <v>1.11731843575419E-2</v>
      </c>
    </row>
    <row r="5" spans="1:10">
      <c r="A5" s="1" t="s">
        <v>1</v>
      </c>
      <c r="B5" s="3">
        <v>88</v>
      </c>
      <c r="C5" s="55">
        <f t="shared" ref="C5:C12" si="0">B5/$B$13</f>
        <v>2.7963139497934542E-2</v>
      </c>
      <c r="D5" s="58">
        <v>100</v>
      </c>
      <c r="E5" s="55">
        <f t="shared" ref="E5:E12" si="1">D5/$D$13</f>
        <v>3.2071840923669021E-2</v>
      </c>
      <c r="F5" s="3">
        <f t="shared" ref="F5:F12" si="2">SUM(B5,D5)</f>
        <v>188</v>
      </c>
      <c r="G5" s="55">
        <f t="shared" ref="G5:G12" si="3">F5/$F$13</f>
        <v>3.0007980845969673E-2</v>
      </c>
    </row>
    <row r="6" spans="1:10">
      <c r="A6" s="1" t="s">
        <v>2</v>
      </c>
      <c r="B6" s="3">
        <v>577</v>
      </c>
      <c r="C6" s="55">
        <f t="shared" si="0"/>
        <v>0.18334922148077534</v>
      </c>
      <c r="D6" s="58">
        <v>726</v>
      </c>
      <c r="E6" s="55">
        <f t="shared" si="1"/>
        <v>0.23284156510583706</v>
      </c>
      <c r="F6" s="3">
        <f t="shared" si="2"/>
        <v>1303</v>
      </c>
      <c r="G6" s="55">
        <f t="shared" si="3"/>
        <v>0.20798084596967278</v>
      </c>
    </row>
    <row r="7" spans="1:10">
      <c r="A7" s="1" t="s">
        <v>3</v>
      </c>
      <c r="B7" s="3">
        <v>507</v>
      </c>
      <c r="C7" s="55">
        <f t="shared" si="0"/>
        <v>0.16110581506196378</v>
      </c>
      <c r="D7" s="58">
        <v>474</v>
      </c>
      <c r="E7" s="55">
        <f t="shared" si="1"/>
        <v>0.15202052597819116</v>
      </c>
      <c r="F7" s="3">
        <f t="shared" si="2"/>
        <v>981</v>
      </c>
      <c r="G7" s="55">
        <f t="shared" si="3"/>
        <v>0.15658419792498005</v>
      </c>
    </row>
    <row r="8" spans="1:10">
      <c r="A8" s="1" t="s">
        <v>4</v>
      </c>
      <c r="B8" s="3">
        <v>452</v>
      </c>
      <c r="C8" s="55">
        <f t="shared" si="0"/>
        <v>0.14362885287575469</v>
      </c>
      <c r="D8" s="58">
        <v>333</v>
      </c>
      <c r="E8" s="55">
        <f t="shared" si="1"/>
        <v>0.10679923027581784</v>
      </c>
      <c r="F8" s="3">
        <f t="shared" si="2"/>
        <v>785</v>
      </c>
      <c r="G8" s="55">
        <f t="shared" si="3"/>
        <v>0.12529928172386273</v>
      </c>
    </row>
    <row r="9" spans="1:10">
      <c r="A9" s="1" t="s">
        <v>5</v>
      </c>
      <c r="B9" s="3">
        <v>488</v>
      </c>
      <c r="C9" s="55">
        <f t="shared" si="0"/>
        <v>0.15506831903400065</v>
      </c>
      <c r="D9" s="58">
        <v>518</v>
      </c>
      <c r="E9" s="55">
        <f t="shared" si="1"/>
        <v>0.16613213598460552</v>
      </c>
      <c r="F9" s="3">
        <f t="shared" si="2"/>
        <v>1006</v>
      </c>
      <c r="G9" s="55">
        <f t="shared" si="3"/>
        <v>0.16057462090981645</v>
      </c>
    </row>
    <row r="10" spans="1:10">
      <c r="A10" s="1" t="s">
        <v>6</v>
      </c>
      <c r="B10" s="3">
        <v>520</v>
      </c>
      <c r="C10" s="55">
        <f t="shared" si="0"/>
        <v>0.16523673339688591</v>
      </c>
      <c r="D10" s="58">
        <v>524</v>
      </c>
      <c r="E10" s="55">
        <f t="shared" si="1"/>
        <v>0.16805644644002565</v>
      </c>
      <c r="F10" s="3">
        <f t="shared" si="2"/>
        <v>1044</v>
      </c>
      <c r="G10" s="55">
        <f t="shared" si="3"/>
        <v>0.16664006384676774</v>
      </c>
    </row>
    <row r="11" spans="1:10">
      <c r="A11" s="1" t="s">
        <v>7</v>
      </c>
      <c r="B11" s="3">
        <v>367</v>
      </c>
      <c r="C11" s="55">
        <f t="shared" si="0"/>
        <v>0.11661900222434064</v>
      </c>
      <c r="D11" s="58">
        <v>311</v>
      </c>
      <c r="E11" s="55">
        <f t="shared" si="1"/>
        <v>9.9743425272610653E-2</v>
      </c>
      <c r="F11" s="3">
        <f t="shared" si="2"/>
        <v>678</v>
      </c>
      <c r="G11" s="55">
        <f t="shared" si="3"/>
        <v>0.10822027134876297</v>
      </c>
    </row>
    <row r="12" spans="1:10">
      <c r="A12" s="1" t="s">
        <v>8</v>
      </c>
      <c r="B12" s="4">
        <v>112</v>
      </c>
      <c r="C12" s="7">
        <f t="shared" si="0"/>
        <v>3.5589450270098508E-2</v>
      </c>
      <c r="D12" s="2">
        <v>98</v>
      </c>
      <c r="E12" s="7">
        <f t="shared" si="1"/>
        <v>3.1430404105195639E-2</v>
      </c>
      <c r="F12" s="4">
        <f t="shared" si="2"/>
        <v>210</v>
      </c>
      <c r="G12" s="7">
        <f t="shared" si="3"/>
        <v>3.3519553072625698E-2</v>
      </c>
    </row>
    <row r="13" spans="1:10">
      <c r="A13" s="1" t="s">
        <v>11</v>
      </c>
      <c r="B13" s="59">
        <f>SUM(B4:B12)</f>
        <v>3147</v>
      </c>
      <c r="D13" s="59">
        <f t="shared" ref="D13:F13" si="4">SUM(D4:D12)</f>
        <v>3118</v>
      </c>
      <c r="F13" s="59">
        <f t="shared" si="4"/>
        <v>6265</v>
      </c>
    </row>
    <row r="14" spans="1:10">
      <c r="A14" s="1"/>
      <c r="B14" s="65">
        <f>B13/F13</f>
        <v>0.50231444533120506</v>
      </c>
      <c r="D14" s="65">
        <f>D13/F13</f>
        <v>0.49768555466879488</v>
      </c>
    </row>
    <row r="16" spans="1:10">
      <c r="A16" s="1" t="s">
        <v>281</v>
      </c>
      <c r="H16" s="178" t="s">
        <v>279</v>
      </c>
      <c r="I16" s="179"/>
      <c r="J16" s="180"/>
    </row>
    <row r="17" spans="1:13">
      <c r="B17" s="193" t="s">
        <v>9</v>
      </c>
      <c r="C17" s="194" t="s">
        <v>278</v>
      </c>
      <c r="D17" s="193" t="s">
        <v>10</v>
      </c>
      <c r="E17" s="194" t="s">
        <v>278</v>
      </c>
      <c r="F17" s="193" t="s">
        <v>11</v>
      </c>
      <c r="G17" s="194" t="s">
        <v>278</v>
      </c>
      <c r="H17" s="59" t="s">
        <v>9</v>
      </c>
      <c r="I17" s="59" t="s">
        <v>10</v>
      </c>
      <c r="J17" s="59" t="s">
        <v>11</v>
      </c>
      <c r="K17" s="60" t="s">
        <v>170</v>
      </c>
      <c r="L17" s="59" t="s">
        <v>169</v>
      </c>
      <c r="M17" s="59" t="s">
        <v>171</v>
      </c>
    </row>
    <row r="18" spans="1:13">
      <c r="A18" s="1" t="s">
        <v>0</v>
      </c>
      <c r="B18" s="52">
        <v>0</v>
      </c>
      <c r="C18" s="51">
        <f>B18/$B$13</f>
        <v>0</v>
      </c>
      <c r="D18" s="52">
        <v>0</v>
      </c>
      <c r="E18" s="57">
        <f>D18/$D$13</f>
        <v>0</v>
      </c>
      <c r="F18" s="52">
        <f>SUM(B18,D18)</f>
        <v>0</v>
      </c>
      <c r="G18" s="51">
        <f>F18/$F$13</f>
        <v>0</v>
      </c>
      <c r="H18" s="53">
        <f>B18/B4</f>
        <v>0</v>
      </c>
      <c r="I18" s="54">
        <f>D18/D4</f>
        <v>0</v>
      </c>
      <c r="J18" s="54">
        <f>F18/F4</f>
        <v>0</v>
      </c>
      <c r="K18" s="53">
        <v>0</v>
      </c>
      <c r="L18" s="54">
        <v>0</v>
      </c>
      <c r="M18" s="61">
        <v>0</v>
      </c>
    </row>
    <row r="19" spans="1:13">
      <c r="A19" s="1" t="s">
        <v>1</v>
      </c>
      <c r="B19" s="3">
        <v>0</v>
      </c>
      <c r="C19" s="56">
        <f>B19/$B$13</f>
        <v>0</v>
      </c>
      <c r="D19" s="3">
        <v>0</v>
      </c>
      <c r="E19" s="55">
        <f>D19/$D$13</f>
        <v>0</v>
      </c>
      <c r="F19" s="3">
        <f>SUM(B19,D19)</f>
        <v>0</v>
      </c>
      <c r="G19" s="5">
        <f>F19/$F$13</f>
        <v>0</v>
      </c>
      <c r="H19" s="48">
        <f>B19/B5</f>
        <v>0</v>
      </c>
      <c r="I19" s="9">
        <f>D19/D5</f>
        <v>0</v>
      </c>
      <c r="J19" s="9">
        <f>F19/F5</f>
        <v>0</v>
      </c>
      <c r="K19" s="48">
        <v>2E-3</v>
      </c>
      <c r="L19" s="62">
        <v>0</v>
      </c>
      <c r="M19" s="63">
        <v>0</v>
      </c>
    </row>
    <row r="20" spans="1:13">
      <c r="A20" s="1" t="s">
        <v>2</v>
      </c>
      <c r="B20" s="3">
        <v>0</v>
      </c>
      <c r="C20" s="56">
        <f>B20/$B$13</f>
        <v>0</v>
      </c>
      <c r="D20" s="3">
        <v>0</v>
      </c>
      <c r="E20" s="55">
        <f>D20/$D$13</f>
        <v>0</v>
      </c>
      <c r="F20" s="3">
        <f>SUM(B20,D20)</f>
        <v>0</v>
      </c>
      <c r="G20" s="5">
        <f>F20/$F$13</f>
        <v>0</v>
      </c>
      <c r="H20" s="48">
        <f>B20/B6</f>
        <v>0</v>
      </c>
      <c r="I20" s="9">
        <f>D20/D6</f>
        <v>0</v>
      </c>
      <c r="J20" s="9">
        <f>F20/F6</f>
        <v>0</v>
      </c>
      <c r="K20" s="48">
        <v>2E-3</v>
      </c>
      <c r="L20" s="62">
        <v>0</v>
      </c>
      <c r="M20" s="63">
        <v>2.2000000000000001E-3</v>
      </c>
    </row>
    <row r="21" spans="1:13">
      <c r="A21" s="1" t="s">
        <v>3</v>
      </c>
      <c r="B21" s="3">
        <v>0</v>
      </c>
      <c r="C21" s="56">
        <f>B21/$B$13</f>
        <v>0</v>
      </c>
      <c r="D21" s="3">
        <v>0</v>
      </c>
      <c r="E21" s="55">
        <f>D21/$D$13</f>
        <v>0</v>
      </c>
      <c r="F21" s="3">
        <f>SUM(B21,D21)</f>
        <v>0</v>
      </c>
      <c r="G21" s="5">
        <f>F21/$F$13</f>
        <v>0</v>
      </c>
      <c r="H21" s="48">
        <f>B21/B7</f>
        <v>0</v>
      </c>
      <c r="I21" s="9">
        <f>D21/D7</f>
        <v>0</v>
      </c>
      <c r="J21" s="9">
        <f>F21/F7</f>
        <v>0</v>
      </c>
      <c r="K21" s="48">
        <v>2E-3</v>
      </c>
      <c r="L21" s="62">
        <v>3.0000000000000001E-3</v>
      </c>
      <c r="M21" s="63">
        <v>1.4E-3</v>
      </c>
    </row>
    <row r="22" spans="1:13">
      <c r="A22" s="1" t="s">
        <v>4</v>
      </c>
      <c r="B22" s="3">
        <v>1</v>
      </c>
      <c r="C22" s="56">
        <f>B22/$B$13</f>
        <v>3.1776294884016526E-4</v>
      </c>
      <c r="D22" s="3">
        <v>0</v>
      </c>
      <c r="E22" s="55">
        <f>D22/$D$13</f>
        <v>0</v>
      </c>
      <c r="F22" s="3">
        <f>SUM(B22,D22)</f>
        <v>1</v>
      </c>
      <c r="G22" s="5">
        <f>F22/$F$13</f>
        <v>1.5961691939345569E-4</v>
      </c>
      <c r="H22" s="48">
        <f>B22/B8</f>
        <v>2.2123893805309734E-3</v>
      </c>
      <c r="I22" s="9">
        <f>D22/D8</f>
        <v>0</v>
      </c>
      <c r="J22" s="9">
        <f>F22/F8</f>
        <v>1.2738853503184713E-3</v>
      </c>
      <c r="K22" s="48">
        <v>4.0000000000000001E-3</v>
      </c>
      <c r="L22" s="62">
        <v>4.0000000000000001E-3</v>
      </c>
      <c r="M22" s="63">
        <v>3.0000000000000001E-3</v>
      </c>
    </row>
    <row r="23" spans="1:13">
      <c r="A23" s="1" t="s">
        <v>5</v>
      </c>
      <c r="B23" s="3">
        <v>1</v>
      </c>
      <c r="C23" s="56">
        <f>B23/$B$13</f>
        <v>3.1776294884016526E-4</v>
      </c>
      <c r="D23" s="3">
        <v>1</v>
      </c>
      <c r="E23" s="55">
        <f>D23/$D$13</f>
        <v>3.2071840923669016E-4</v>
      </c>
      <c r="F23" s="3">
        <f>SUM(B23,D23)</f>
        <v>2</v>
      </c>
      <c r="G23" s="5">
        <f>F23/$F$13</f>
        <v>3.1923383878691139E-4</v>
      </c>
      <c r="H23" s="48">
        <f>B23/B9</f>
        <v>2.0491803278688526E-3</v>
      </c>
      <c r="I23" s="9">
        <f>D23/D9</f>
        <v>1.9305019305019305E-3</v>
      </c>
      <c r="J23" s="9">
        <f>F23/F9</f>
        <v>1.9880715705765406E-3</v>
      </c>
      <c r="K23" s="48">
        <v>1.2999999999999999E-2</v>
      </c>
      <c r="L23" s="62">
        <v>0.01</v>
      </c>
      <c r="M23" s="63">
        <v>4.0000000000000001E-3</v>
      </c>
    </row>
    <row r="24" spans="1:13">
      <c r="A24" s="1" t="s">
        <v>6</v>
      </c>
      <c r="B24" s="3">
        <v>5</v>
      </c>
      <c r="C24" s="56">
        <f>B24/$B$13</f>
        <v>1.5888147442008262E-3</v>
      </c>
      <c r="D24" s="3">
        <v>4</v>
      </c>
      <c r="E24" s="55">
        <f>D24/$D$13</f>
        <v>1.2828736369467607E-3</v>
      </c>
      <c r="F24" s="3">
        <f>SUM(B24,D24)</f>
        <v>9</v>
      </c>
      <c r="G24" s="5">
        <f>F24/$F$13</f>
        <v>1.4365522745411015E-3</v>
      </c>
      <c r="H24" s="48">
        <f>B24/B10</f>
        <v>9.6153846153846159E-3</v>
      </c>
      <c r="I24" s="9">
        <f>D24/D10</f>
        <v>7.6335877862595417E-3</v>
      </c>
      <c r="J24" s="9">
        <f>F24/F10</f>
        <v>8.6206896551724137E-3</v>
      </c>
      <c r="K24" s="48">
        <v>3.5999999999999997E-2</v>
      </c>
      <c r="L24" s="62">
        <v>3.5000000000000003E-2</v>
      </c>
      <c r="M24" s="63">
        <v>1.9E-2</v>
      </c>
    </row>
    <row r="25" spans="1:13">
      <c r="A25" s="1" t="s">
        <v>7</v>
      </c>
      <c r="B25" s="3">
        <v>21</v>
      </c>
      <c r="C25" s="56">
        <f>B25/$B$13</f>
        <v>6.6730219256434702E-3</v>
      </c>
      <c r="D25" s="3">
        <v>12</v>
      </c>
      <c r="E25" s="55">
        <f>D25/$D$13</f>
        <v>3.8486209108402822E-3</v>
      </c>
      <c r="F25" s="3">
        <f>SUM(B25,D25)</f>
        <v>33</v>
      </c>
      <c r="G25" s="5">
        <f>F25/$F$13</f>
        <v>5.2673583399840381E-3</v>
      </c>
      <c r="H25" s="48">
        <f>B25/B11</f>
        <v>5.7220708446866483E-2</v>
      </c>
      <c r="I25" s="9">
        <f>D25/D11</f>
        <v>3.8585209003215437E-2</v>
      </c>
      <c r="J25" s="9">
        <f>F25/F11</f>
        <v>4.8672566371681415E-2</v>
      </c>
      <c r="K25" s="48">
        <v>0.08</v>
      </c>
      <c r="L25" s="62">
        <v>0.128</v>
      </c>
      <c r="M25" s="63">
        <v>4.8000000000000001E-2</v>
      </c>
    </row>
    <row r="26" spans="1:13">
      <c r="A26" s="1" t="s">
        <v>8</v>
      </c>
      <c r="B26" s="4">
        <v>26</v>
      </c>
      <c r="C26" s="6">
        <f>B26/$B$13</f>
        <v>8.2618366698442962E-3</v>
      </c>
      <c r="D26" s="4">
        <v>26</v>
      </c>
      <c r="E26" s="7">
        <f>D26/$D$13</f>
        <v>8.3386786401539442E-3</v>
      </c>
      <c r="F26" s="4">
        <f>SUM(B26,D26)</f>
        <v>52</v>
      </c>
      <c r="G26" s="6">
        <f>F26/$F$13</f>
        <v>8.3000798084596969E-3</v>
      </c>
      <c r="H26" s="49">
        <f>B26/B12</f>
        <v>0.23214285714285715</v>
      </c>
      <c r="I26" s="47">
        <f>D26/D12</f>
        <v>0.26530612244897961</v>
      </c>
      <c r="J26" s="47">
        <f>F26/F12</f>
        <v>0.24761904761904763</v>
      </c>
      <c r="K26" s="49">
        <v>0.14799999999999999</v>
      </c>
      <c r="L26" s="47">
        <v>0.20200000000000001</v>
      </c>
      <c r="M26" s="64">
        <v>0.156</v>
      </c>
    </row>
    <row r="27" spans="1:13">
      <c r="A27" s="1" t="s">
        <v>11</v>
      </c>
      <c r="B27" s="59">
        <f>SUM(B18:B26)</f>
        <v>54</v>
      </c>
      <c r="D27" s="59">
        <f>SUM(D18:D26)</f>
        <v>43</v>
      </c>
      <c r="F27" s="59">
        <f>SUM(F18:F26)</f>
        <v>97</v>
      </c>
      <c r="H27" s="66">
        <f>B27/B13</f>
        <v>1.7159199237368923E-2</v>
      </c>
      <c r="I27" s="66">
        <f>D27/D13</f>
        <v>1.3790891597177678E-2</v>
      </c>
      <c r="J27" s="66">
        <f>F27/F13</f>
        <v>1.5482841181165203E-2</v>
      </c>
    </row>
    <row r="28" spans="1:13">
      <c r="A28" s="1"/>
      <c r="B28" s="65">
        <f>B27/F27</f>
        <v>0.55670103092783507</v>
      </c>
      <c r="D28" s="65">
        <f>D27/F27</f>
        <v>0.44329896907216493</v>
      </c>
      <c r="H28" s="9"/>
      <c r="J28" s="9"/>
    </row>
    <row r="30" spans="1:13">
      <c r="B30" s="59" t="s">
        <v>166</v>
      </c>
      <c r="C30" s="60" t="s">
        <v>167</v>
      </c>
    </row>
    <row r="31" spans="1:13">
      <c r="A31" s="230" t="s">
        <v>286</v>
      </c>
      <c r="B31" s="99">
        <v>0.05</v>
      </c>
      <c r="C31" s="99">
        <v>0.105</v>
      </c>
    </row>
    <row r="32" spans="1:13">
      <c r="A32" s="230" t="s">
        <v>13</v>
      </c>
      <c r="B32" s="100">
        <v>4.9000000000000002E-2</v>
      </c>
      <c r="C32" s="100">
        <v>7.2999999999999995E-2</v>
      </c>
    </row>
    <row r="33" spans="1:32">
      <c r="A33" s="230" t="s">
        <v>14</v>
      </c>
      <c r="B33" s="100">
        <v>0.31</v>
      </c>
      <c r="C33" s="100">
        <v>6.3E-2</v>
      </c>
    </row>
    <row r="34" spans="1:32">
      <c r="A34" s="232" t="s">
        <v>173</v>
      </c>
      <c r="B34" s="66">
        <v>0.112</v>
      </c>
      <c r="C34" s="100"/>
    </row>
    <row r="35" spans="1:32">
      <c r="A35" s="230" t="s">
        <v>15</v>
      </c>
      <c r="B35" s="100">
        <v>0.106</v>
      </c>
      <c r="C35" s="100">
        <v>0.06</v>
      </c>
    </row>
    <row r="36" spans="1:32">
      <c r="A36" s="230" t="s">
        <v>16</v>
      </c>
      <c r="B36" s="100">
        <v>1.7999999999999999E-2</v>
      </c>
      <c r="C36" s="100">
        <v>5.6000000000000001E-2</v>
      </c>
    </row>
    <row r="37" spans="1:32">
      <c r="A37" s="230" t="s">
        <v>17</v>
      </c>
      <c r="B37" s="101">
        <v>0.152</v>
      </c>
      <c r="C37" s="101" t="s">
        <v>18</v>
      </c>
    </row>
    <row r="38" spans="1:32">
      <c r="A38" s="231" t="s">
        <v>285</v>
      </c>
      <c r="B38" s="66">
        <v>0.20100000000000001</v>
      </c>
      <c r="C38" s="62"/>
    </row>
    <row r="40" spans="1:32">
      <c r="B40" s="181">
        <v>2019</v>
      </c>
      <c r="C40" s="181"/>
      <c r="D40" s="181">
        <v>2018</v>
      </c>
      <c r="E40" s="181"/>
      <c r="F40" s="181"/>
      <c r="G40" s="178">
        <v>2019</v>
      </c>
      <c r="H40" s="179"/>
      <c r="I40" s="179"/>
      <c r="J40" s="179"/>
      <c r="K40" s="179"/>
      <c r="L40" s="180"/>
      <c r="M40" s="180">
        <v>2018</v>
      </c>
      <c r="N40" s="181"/>
      <c r="O40" s="181"/>
      <c r="P40" s="178">
        <v>2019</v>
      </c>
      <c r="Q40" s="179"/>
      <c r="R40" s="179"/>
      <c r="S40" s="179"/>
      <c r="T40" s="179"/>
      <c r="U40" s="180"/>
      <c r="V40" s="180">
        <v>2018</v>
      </c>
      <c r="W40" s="181"/>
      <c r="X40" s="181"/>
      <c r="Y40" s="178">
        <v>2019</v>
      </c>
      <c r="Z40" s="179"/>
      <c r="AA40" s="179"/>
      <c r="AB40" s="179"/>
      <c r="AC40" s="179"/>
      <c r="AD40" s="180"/>
      <c r="AE40" s="172" t="s">
        <v>262</v>
      </c>
    </row>
    <row r="41" spans="1:32">
      <c r="B41" s="59" t="s">
        <v>19</v>
      </c>
      <c r="C41" s="59" t="s">
        <v>129</v>
      </c>
      <c r="D41" s="178" t="s">
        <v>251</v>
      </c>
      <c r="E41" s="179"/>
      <c r="F41" s="180"/>
      <c r="G41" s="178" t="s">
        <v>165</v>
      </c>
      <c r="H41" s="179"/>
      <c r="I41" s="179"/>
      <c r="J41" s="179"/>
      <c r="K41" s="179"/>
      <c r="L41" s="180"/>
      <c r="M41" s="179" t="s">
        <v>239</v>
      </c>
      <c r="N41" s="179"/>
      <c r="O41" s="180"/>
      <c r="P41" s="178" t="s">
        <v>164</v>
      </c>
      <c r="Q41" s="179"/>
      <c r="R41" s="179"/>
      <c r="S41" s="179"/>
      <c r="T41" s="179"/>
      <c r="U41" s="180"/>
      <c r="V41" s="179" t="s">
        <v>261</v>
      </c>
      <c r="W41" s="179"/>
      <c r="X41" s="180"/>
      <c r="Y41" s="178" t="s">
        <v>260</v>
      </c>
      <c r="Z41" s="179"/>
      <c r="AA41" s="179"/>
      <c r="AB41" s="179"/>
      <c r="AC41" s="179"/>
      <c r="AD41" s="180"/>
      <c r="AE41" s="20">
        <f>SUM(F46:F50)</f>
        <v>17700241</v>
      </c>
    </row>
    <row r="42" spans="1:32">
      <c r="B42" s="3"/>
      <c r="C42" s="74"/>
      <c r="D42" s="77" t="s">
        <v>9</v>
      </c>
      <c r="E42" s="77" t="s">
        <v>10</v>
      </c>
      <c r="F42" s="165" t="s">
        <v>11</v>
      </c>
      <c r="G42" s="112" t="s">
        <v>9</v>
      </c>
      <c r="H42" s="197" t="s">
        <v>252</v>
      </c>
      <c r="I42" s="112" t="s">
        <v>10</v>
      </c>
      <c r="J42" s="197" t="s">
        <v>252</v>
      </c>
      <c r="K42" s="197" t="s">
        <v>11</v>
      </c>
      <c r="L42" s="197" t="s">
        <v>252</v>
      </c>
      <c r="M42" s="50" t="s">
        <v>9</v>
      </c>
      <c r="N42" s="50" t="s">
        <v>10</v>
      </c>
      <c r="O42" s="75" t="s">
        <v>11</v>
      </c>
      <c r="P42" s="112" t="s">
        <v>9</v>
      </c>
      <c r="Q42" s="197" t="s">
        <v>252</v>
      </c>
      <c r="R42" s="112" t="s">
        <v>10</v>
      </c>
      <c r="S42" s="197" t="s">
        <v>252</v>
      </c>
      <c r="T42" s="197" t="s">
        <v>11</v>
      </c>
      <c r="U42" s="197" t="s">
        <v>252</v>
      </c>
      <c r="V42" s="50" t="s">
        <v>9</v>
      </c>
      <c r="W42" s="50" t="s">
        <v>10</v>
      </c>
      <c r="X42" s="75" t="s">
        <v>11</v>
      </c>
      <c r="Y42" s="112" t="s">
        <v>9</v>
      </c>
      <c r="Z42" s="197" t="s">
        <v>252</v>
      </c>
      <c r="AA42" s="112" t="s">
        <v>10</v>
      </c>
      <c r="AB42" s="197" t="s">
        <v>252</v>
      </c>
      <c r="AC42" s="197" t="s">
        <v>11</v>
      </c>
      <c r="AD42" s="197" t="s">
        <v>252</v>
      </c>
      <c r="AE42" s="172" t="s">
        <v>265</v>
      </c>
    </row>
    <row r="43" spans="1:32">
      <c r="A43" s="72" t="s">
        <v>0</v>
      </c>
      <c r="B43" s="106">
        <f>'AU Pop'!C13</f>
        <v>3185810</v>
      </c>
      <c r="C43" s="102">
        <f>'AU Pop'!D13</f>
        <v>0.1255958322404806</v>
      </c>
      <c r="D43" s="106">
        <f>'A&amp;TSI Pop'!L9</f>
        <v>1516001</v>
      </c>
      <c r="E43" s="106">
        <f>'A&amp;TSI Pop'!L27</f>
        <v>1437218</v>
      </c>
      <c r="F43" s="161">
        <f>'A&amp;TSI Pop'!L45</f>
        <v>2953219</v>
      </c>
      <c r="G43" s="3"/>
      <c r="I43" s="58"/>
      <c r="K43" s="58"/>
      <c r="L43" s="74"/>
      <c r="M43" s="168">
        <f>'A&amp;TSI Pop'!H9</f>
        <v>96111</v>
      </c>
      <c r="N43" s="168">
        <f>'A&amp;TSI Pop'!H27</f>
        <v>91577</v>
      </c>
      <c r="O43" s="163">
        <f>'A&amp;TSI Pop'!H45</f>
        <v>187688</v>
      </c>
      <c r="P43" s="3"/>
      <c r="R43" s="58"/>
      <c r="T43" s="74"/>
      <c r="U43" s="74"/>
      <c r="V43" s="168">
        <f>M43+D43</f>
        <v>1612112</v>
      </c>
      <c r="W43" s="168">
        <f>N43+E43</f>
        <v>1528795</v>
      </c>
      <c r="X43" s="163">
        <f>O43+F43</f>
        <v>3140907</v>
      </c>
      <c r="Y43" s="3"/>
      <c r="AA43" s="58"/>
      <c r="AC43" s="74"/>
      <c r="AD43" s="74"/>
      <c r="AE43" s="26">
        <f>SUM(G46:G50,I46:I50,K46:K50)</f>
        <v>61540</v>
      </c>
      <c r="AF43" t="s">
        <v>263</v>
      </c>
    </row>
    <row r="44" spans="1:32">
      <c r="A44" s="72" t="s">
        <v>250</v>
      </c>
      <c r="B44" s="166">
        <f>'AU Pop'!G22</f>
        <v>2425265</v>
      </c>
      <c r="C44" s="162">
        <f>'AU Pop'!H22</f>
        <v>9.5612474089386751E-2</v>
      </c>
      <c r="D44" s="182">
        <f>'A&amp;TSI Pop'!L11</f>
        <v>1405253</v>
      </c>
      <c r="E44" s="182">
        <f>'A&amp;TSI Pop'!L29</f>
        <v>1333829</v>
      </c>
      <c r="F44" s="182">
        <f>'A&amp;TSI Pop'!L47</f>
        <v>2739082</v>
      </c>
      <c r="G44" s="3"/>
      <c r="I44" s="58"/>
      <c r="K44" s="58"/>
      <c r="L44" s="74"/>
      <c r="M44" s="184">
        <f>'A&amp;TSI Pop'!H11</f>
        <v>85770</v>
      </c>
      <c r="N44" s="184">
        <f>'A&amp;TSI Pop'!H29</f>
        <v>81992</v>
      </c>
      <c r="O44" s="186">
        <f>'A&amp;TSI Pop'!H47</f>
        <v>167762</v>
      </c>
      <c r="P44" s="3"/>
      <c r="R44" s="58"/>
      <c r="T44" s="74"/>
      <c r="U44" s="74"/>
      <c r="V44" s="198">
        <f>M44+D44</f>
        <v>1491023</v>
      </c>
      <c r="W44" s="184">
        <f>N44+E44</f>
        <v>1415821</v>
      </c>
      <c r="X44" s="186">
        <f>O44+F44</f>
        <v>2906844</v>
      </c>
      <c r="Y44" s="3"/>
      <c r="AA44" s="58"/>
      <c r="AC44" s="74"/>
      <c r="AD44" s="74"/>
      <c r="AE44" t="s">
        <v>267</v>
      </c>
    </row>
    <row r="45" spans="1:32">
      <c r="A45" s="1" t="s">
        <v>200</v>
      </c>
      <c r="B45" s="107">
        <f>'AU Pop'!G25</f>
        <v>632929</v>
      </c>
      <c r="C45" s="55">
        <f>'AU Pop'!H25</f>
        <v>2.4952286703894818E-2</v>
      </c>
      <c r="D45" s="183"/>
      <c r="E45" s="183"/>
      <c r="F45" s="183"/>
      <c r="G45" s="80">
        <f>'Prison Pop'!L58</f>
        <v>353</v>
      </c>
      <c r="I45" s="80">
        <f>'Prison Pop'!L75</f>
        <v>23</v>
      </c>
      <c r="K45" s="80">
        <f>SUM(G45,I45)</f>
        <v>376</v>
      </c>
      <c r="L45" s="74"/>
      <c r="M45" s="185"/>
      <c r="N45" s="185"/>
      <c r="O45" s="187"/>
      <c r="P45" s="80">
        <f>'Prison Pop'!L6</f>
        <v>348</v>
      </c>
      <c r="R45" s="80">
        <f>'Prison Pop'!L23</f>
        <v>30</v>
      </c>
      <c r="T45" s="80">
        <f>SUM(P45,R45)</f>
        <v>378</v>
      </c>
      <c r="U45" s="74"/>
      <c r="V45" s="199"/>
      <c r="W45" s="185"/>
      <c r="X45" s="185"/>
      <c r="Y45" s="80">
        <f>P45+G45</f>
        <v>701</v>
      </c>
      <c r="AA45" s="80">
        <f>R45+I45</f>
        <v>53</v>
      </c>
      <c r="AC45" s="80">
        <f>SUM(Y45,AA45)</f>
        <v>754</v>
      </c>
      <c r="AD45" s="74"/>
      <c r="AE45" s="233">
        <f>AE43/(AE41/1000)</f>
        <v>3.4767888188641045</v>
      </c>
    </row>
    <row r="46" spans="1:32">
      <c r="A46" s="1" t="s">
        <v>2</v>
      </c>
      <c r="B46" s="107">
        <f>'AU Pop'!C37</f>
        <v>3667439</v>
      </c>
      <c r="C46" s="55">
        <f>'AU Pop'!D37</f>
        <v>0.14458334093878666</v>
      </c>
      <c r="D46" s="109">
        <f>'A&amp;TSI Pop'!L13</f>
        <v>1702705</v>
      </c>
      <c r="E46" s="109">
        <f>'A&amp;TSI Pop'!L31</f>
        <v>1668970</v>
      </c>
      <c r="F46" s="109">
        <f>'A&amp;TSI Pop'!L49</f>
        <v>3371675</v>
      </c>
      <c r="G46" s="103">
        <f>'Prison Pop'!L60</f>
        <v>7737</v>
      </c>
      <c r="H46" s="208">
        <f>G46/(D46/1000)</f>
        <v>4.54394625023125</v>
      </c>
      <c r="I46" s="105">
        <f>'Prison Pop'!L77</f>
        <v>702</v>
      </c>
      <c r="J46" s="234">
        <f>I46/(E46/1000)</f>
        <v>0.42061870494975945</v>
      </c>
      <c r="K46" s="105">
        <f t="shared" ref="K46:K50" si="5">SUM(G46,I46)</f>
        <v>8439</v>
      </c>
      <c r="L46" s="203">
        <f>K46/(F46/1000)</f>
        <v>2.5029102745667955</v>
      </c>
      <c r="M46" s="164">
        <f>'A&amp;TSI Pop'!H13</f>
        <v>70004</v>
      </c>
      <c r="N46" s="109">
        <f>'A&amp;TSI Pop'!H31</f>
        <v>66691</v>
      </c>
      <c r="O46" s="109">
        <f>'A&amp;TSI Pop'!H49</f>
        <v>136695</v>
      </c>
      <c r="P46" s="105">
        <f>'Prison Pop'!L8</f>
        <v>4163</v>
      </c>
      <c r="Q46" s="208">
        <f>P46/(M46/1000)</f>
        <v>59.468030398262954</v>
      </c>
      <c r="R46" s="105">
        <f>'Prison Pop'!L25</f>
        <v>441</v>
      </c>
      <c r="S46" s="237">
        <f>R46/(N46/1000)</f>
        <v>6.6125864059618236</v>
      </c>
      <c r="T46" s="105">
        <f t="shared" ref="T46:T50" si="6">SUM(P46,R46)</f>
        <v>4604</v>
      </c>
      <c r="U46" s="203">
        <f>T46/(O46/1000)</f>
        <v>33.680822268554081</v>
      </c>
      <c r="V46" s="108">
        <f>M46+D46</f>
        <v>1772709</v>
      </c>
      <c r="W46" s="170">
        <f>N46+E46</f>
        <v>1735661</v>
      </c>
      <c r="X46" s="200">
        <f>O46+F46</f>
        <v>3508370</v>
      </c>
      <c r="Y46" s="103">
        <f>P46+G46</f>
        <v>11900</v>
      </c>
      <c r="Z46" s="208">
        <f>Y46/(V46/1000)</f>
        <v>6.7128897072221099</v>
      </c>
      <c r="AA46" s="195">
        <f>R46+I46</f>
        <v>1143</v>
      </c>
      <c r="AB46" s="237">
        <f>AA46/(W46/1000)</f>
        <v>0.65853873538669128</v>
      </c>
      <c r="AC46" s="105">
        <f t="shared" ref="AC46:AC50" si="7">SUM(Y46,AA46)</f>
        <v>13043</v>
      </c>
      <c r="AD46" s="211">
        <f>AC46/(X46/1000)</f>
        <v>3.7176808603425524</v>
      </c>
    </row>
    <row r="47" spans="1:32">
      <c r="A47" s="1" t="s">
        <v>3</v>
      </c>
      <c r="B47" s="107">
        <f>'AU Pop'!C49</f>
        <v>3673275</v>
      </c>
      <c r="C47" s="55">
        <f>'AU Pop'!D49</f>
        <v>0.14481341657950456</v>
      </c>
      <c r="D47" s="109">
        <f>'A&amp;TSI Pop'!L15</f>
        <v>1647555</v>
      </c>
      <c r="E47" s="109">
        <f>'A&amp;TSI Pop'!L33</f>
        <v>1659922</v>
      </c>
      <c r="F47" s="109">
        <f>'A&amp;TSI Pop'!L51</f>
        <v>3307477</v>
      </c>
      <c r="G47" s="103">
        <f>'Prison Pop'!L62</f>
        <v>9721</v>
      </c>
      <c r="H47" s="209">
        <f t="shared" ref="H47:H50" si="8">G47/(D47/1000)</f>
        <v>5.9002582614844421</v>
      </c>
      <c r="I47" s="105">
        <f>'Prison Pop'!L79</f>
        <v>808</v>
      </c>
      <c r="J47" s="235">
        <f t="shared" ref="J47:J50" si="9">I47/(E47/1000)</f>
        <v>0.48676986027054281</v>
      </c>
      <c r="K47" s="105">
        <f t="shared" si="5"/>
        <v>10529</v>
      </c>
      <c r="L47" s="204">
        <f>K47/(F47/1000)</f>
        <v>3.1833932632033419</v>
      </c>
      <c r="M47" s="164">
        <f>'A&amp;TSI Pop'!H15</f>
        <v>46374</v>
      </c>
      <c r="N47" s="109">
        <f>'A&amp;TSI Pop'!H33</f>
        <v>47696</v>
      </c>
      <c r="O47" s="109">
        <f>'A&amp;TSI Pop'!H51</f>
        <v>94070</v>
      </c>
      <c r="P47" s="105">
        <f>'Prison Pop'!L10</f>
        <v>3619</v>
      </c>
      <c r="Q47" s="209">
        <f t="shared" ref="Q47:Q50" si="10">P47/(M47/1000)</f>
        <v>78.039418639755027</v>
      </c>
      <c r="R47" s="105">
        <f>'Prison Pop'!L27</f>
        <v>436</v>
      </c>
      <c r="S47" s="238">
        <f t="shared" ref="S47:S50" si="11">R47/(N47/1000)</f>
        <v>9.1412277759141229</v>
      </c>
      <c r="T47" s="105">
        <f t="shared" si="6"/>
        <v>4055</v>
      </c>
      <c r="U47" s="204">
        <f>T47/(O47/1000)</f>
        <v>43.106197512490702</v>
      </c>
      <c r="V47" s="109">
        <f>M47+D47</f>
        <v>1693929</v>
      </c>
      <c r="W47" s="164">
        <f>N47+E47</f>
        <v>1707618</v>
      </c>
      <c r="X47" s="201">
        <f>O47+F47</f>
        <v>3401547</v>
      </c>
      <c r="Y47" s="103">
        <f>P47+G47</f>
        <v>13340</v>
      </c>
      <c r="Z47" s="209">
        <f t="shared" ref="Z47:Z50" si="12">Y47/(V47/1000)</f>
        <v>7.8751824899390703</v>
      </c>
      <c r="AA47" s="195">
        <f t="shared" ref="AA47:AA50" si="13">R47+I47</f>
        <v>1244</v>
      </c>
      <c r="AB47" s="238">
        <f>AA47/(W47/1000)</f>
        <v>0.72850016807037643</v>
      </c>
      <c r="AC47" s="105">
        <f t="shared" si="7"/>
        <v>14584</v>
      </c>
      <c r="AD47" s="212">
        <f t="shared" ref="AD47:AD50" si="14">AC47/(X47/1000)</f>
        <v>4.2874609699645481</v>
      </c>
      <c r="AE47" t="s">
        <v>264</v>
      </c>
    </row>
    <row r="48" spans="1:32">
      <c r="A48" s="1" t="s">
        <v>4</v>
      </c>
      <c r="B48" s="107">
        <f>'AU Pop'!C61</f>
        <v>3274257</v>
      </c>
      <c r="C48" s="55">
        <f>'AU Pop'!D61</f>
        <v>0.12908272398046944</v>
      </c>
      <c r="D48" s="109">
        <f>'A&amp;TSI Pop'!L17</f>
        <v>1551221</v>
      </c>
      <c r="E48" s="109">
        <f>'A&amp;TSI Pop'!L35</f>
        <v>1592347</v>
      </c>
      <c r="F48" s="109">
        <f>'A&amp;TSI Pop'!L53</f>
        <v>3143568</v>
      </c>
      <c r="G48" s="103">
        <f>'Prison Pop'!L64</f>
        <v>6245</v>
      </c>
      <c r="H48" s="209">
        <f t="shared" si="8"/>
        <v>4.0258609185925156</v>
      </c>
      <c r="I48" s="105">
        <f>'Prison Pop'!L81</f>
        <v>522</v>
      </c>
      <c r="J48" s="235">
        <f t="shared" si="9"/>
        <v>0.32781799444467818</v>
      </c>
      <c r="K48" s="105">
        <f t="shared" si="5"/>
        <v>6767</v>
      </c>
      <c r="L48" s="204">
        <f>K48/(F48/1000)</f>
        <v>2.1526494734645469</v>
      </c>
      <c r="M48" s="164">
        <f>'A&amp;TSI Pop'!H17</f>
        <v>42087</v>
      </c>
      <c r="N48" s="109">
        <f>'A&amp;TSI Pop'!H35</f>
        <v>46051</v>
      </c>
      <c r="O48" s="109">
        <f>'A&amp;TSI Pop'!H53</f>
        <v>88138</v>
      </c>
      <c r="P48" s="105">
        <f>'Prison Pop'!L12</f>
        <v>1867</v>
      </c>
      <c r="Q48" s="209">
        <f t="shared" si="10"/>
        <v>44.360491363128752</v>
      </c>
      <c r="R48" s="105">
        <f>'Prison Pop'!L29</f>
        <v>206</v>
      </c>
      <c r="S48" s="238">
        <f t="shared" si="11"/>
        <v>4.4733013398188959</v>
      </c>
      <c r="T48" s="105">
        <f t="shared" si="6"/>
        <v>2073</v>
      </c>
      <c r="U48" s="204">
        <f>T48/(O48/1000)</f>
        <v>23.519934647938459</v>
      </c>
      <c r="V48" s="109">
        <f t="shared" ref="V48:X50" si="15">M48+D48</f>
        <v>1593308</v>
      </c>
      <c r="W48" s="164">
        <f t="shared" si="15"/>
        <v>1638398</v>
      </c>
      <c r="X48" s="201">
        <f t="shared" si="15"/>
        <v>3231706</v>
      </c>
      <c r="Y48" s="103">
        <f>P48+G48</f>
        <v>8112</v>
      </c>
      <c r="Z48" s="209">
        <f t="shared" si="12"/>
        <v>5.0912943385710738</v>
      </c>
      <c r="AA48" s="195">
        <f t="shared" si="13"/>
        <v>728</v>
      </c>
      <c r="AB48" s="238">
        <f t="shared" ref="AB48:AB50" si="16">AA48/(W48/1000)</f>
        <v>0.44433647990292957</v>
      </c>
      <c r="AC48" s="105">
        <f t="shared" si="7"/>
        <v>8840</v>
      </c>
      <c r="AD48" s="212">
        <f t="shared" si="14"/>
        <v>2.7353973412185391</v>
      </c>
      <c r="AE48" s="20">
        <f>SUM(O46:O50)</f>
        <v>442915</v>
      </c>
    </row>
    <row r="49" spans="1:32">
      <c r="A49" s="1" t="s">
        <v>5</v>
      </c>
      <c r="B49" s="107">
        <f>'AU Pop'!C73</f>
        <v>3080088</v>
      </c>
      <c r="C49" s="55">
        <f>'AU Pop'!D73</f>
        <v>0.12142789925761971</v>
      </c>
      <c r="D49" s="109">
        <f>'A&amp;TSI Pop'!L19</f>
        <v>1454427</v>
      </c>
      <c r="E49" s="109">
        <f>'A&amp;TSI Pop'!L37</f>
        <v>1502388</v>
      </c>
      <c r="F49" s="109">
        <f>'A&amp;TSI Pop'!L55</f>
        <v>2956815</v>
      </c>
      <c r="G49" s="103">
        <f>'Prison Pop'!L66</f>
        <v>2885</v>
      </c>
      <c r="H49" s="209">
        <f t="shared" si="8"/>
        <v>1.9835990393467668</v>
      </c>
      <c r="I49" s="105">
        <f>'Prison Pop'!L83</f>
        <v>233</v>
      </c>
      <c r="J49" s="235">
        <f t="shared" si="9"/>
        <v>0.1550864357276549</v>
      </c>
      <c r="K49" s="105">
        <f t="shared" si="5"/>
        <v>3118</v>
      </c>
      <c r="L49" s="204">
        <f>K49/(F49/1000)</f>
        <v>1.0545130486689225</v>
      </c>
      <c r="M49" s="164">
        <f>'A&amp;TSI Pop'!H19</f>
        <v>32099</v>
      </c>
      <c r="N49" s="109">
        <f>'A&amp;TSI Pop'!H37</f>
        <v>35477</v>
      </c>
      <c r="O49" s="109">
        <f>'A&amp;TSI Pop'!H55</f>
        <v>67576</v>
      </c>
      <c r="P49" s="105">
        <f>'Prison Pop'!L14</f>
        <v>598</v>
      </c>
      <c r="Q49" s="209">
        <f t="shared" si="10"/>
        <v>18.629863858687187</v>
      </c>
      <c r="R49" s="105">
        <f>'Prison Pop'!L31</f>
        <v>44</v>
      </c>
      <c r="S49" s="238">
        <f t="shared" si="11"/>
        <v>1.240240155593765</v>
      </c>
      <c r="T49" s="105">
        <f t="shared" si="6"/>
        <v>642</v>
      </c>
      <c r="U49" s="204">
        <f>T49/(O49/1000)</f>
        <v>9.5004143482893344</v>
      </c>
      <c r="V49" s="109">
        <f t="shared" si="15"/>
        <v>1486526</v>
      </c>
      <c r="W49" s="164">
        <f t="shared" si="15"/>
        <v>1537865</v>
      </c>
      <c r="X49" s="201">
        <f t="shared" si="15"/>
        <v>3024391</v>
      </c>
      <c r="Y49" s="103">
        <f>P49+G49</f>
        <v>3483</v>
      </c>
      <c r="Z49" s="209">
        <f t="shared" si="12"/>
        <v>2.3430468084648366</v>
      </c>
      <c r="AA49" s="195">
        <f t="shared" si="13"/>
        <v>277</v>
      </c>
      <c r="AB49" s="238">
        <f t="shared" si="16"/>
        <v>0.18011984146852941</v>
      </c>
      <c r="AC49" s="105">
        <f t="shared" si="7"/>
        <v>3760</v>
      </c>
      <c r="AD49" s="212">
        <f t="shared" si="14"/>
        <v>1.2432254956452389</v>
      </c>
      <c r="AE49" t="s">
        <v>266</v>
      </c>
    </row>
    <row r="50" spans="1:32">
      <c r="A50" s="1" t="s">
        <v>201</v>
      </c>
      <c r="B50" s="73">
        <f>'AU Pop'!C85+'AU Pop'!C97+'AU Pop'!C107</f>
        <v>5426508</v>
      </c>
      <c r="C50" s="7">
        <f>B50/SUM(B43:B50)</f>
        <v>0.21393202620985743</v>
      </c>
      <c r="D50" s="76">
        <f>SUM('A&amp;TSI Pop'!L21, 'A&amp;TSI Pop'!L23)</f>
        <v>2327464</v>
      </c>
      <c r="E50" s="76">
        <f>'A&amp;TSI Pop'!L39+'A&amp;TSI Pop'!L41</f>
        <v>2593242</v>
      </c>
      <c r="F50" s="76">
        <f>'A&amp;TSI Pop'!L57+'A&amp;TSI Pop'!L59</f>
        <v>4920706</v>
      </c>
      <c r="G50" s="104">
        <f>'Prison Pop'!L68</f>
        <v>1863</v>
      </c>
      <c r="H50" s="210">
        <f t="shared" si="8"/>
        <v>0.80044202617097404</v>
      </c>
      <c r="I50" s="79">
        <f>'Prison Pop'!L85</f>
        <v>54</v>
      </c>
      <c r="J50" s="236">
        <f t="shared" si="9"/>
        <v>2.0823355475501321E-2</v>
      </c>
      <c r="K50" s="79">
        <f t="shared" si="5"/>
        <v>1917</v>
      </c>
      <c r="L50" s="205">
        <f>K50/(F50/1000)</f>
        <v>0.38957824344718012</v>
      </c>
      <c r="M50" s="169">
        <f>'A&amp;TSI Pop'!H21+'A&amp;TSI Pop'!H23</f>
        <v>25968</v>
      </c>
      <c r="N50" s="76">
        <f>'A&amp;TSI Pop'!H39+'A&amp;TSI Pop'!H41</f>
        <v>30468</v>
      </c>
      <c r="O50" s="76">
        <f>'A&amp;TSI Pop'!H57+'A&amp;TSI Pop'!H59</f>
        <v>56436</v>
      </c>
      <c r="P50" s="79">
        <f>'Prison Pop'!L16</f>
        <v>120</v>
      </c>
      <c r="Q50" s="210">
        <f t="shared" si="10"/>
        <v>4.621072088724584</v>
      </c>
      <c r="R50" s="79">
        <f>'Prison Pop'!L33</f>
        <v>3</v>
      </c>
      <c r="S50" s="239">
        <f t="shared" si="11"/>
        <v>9.8463962189838522E-2</v>
      </c>
      <c r="T50" s="79">
        <f t="shared" si="6"/>
        <v>123</v>
      </c>
      <c r="U50" s="205">
        <f>T50/(O50/1000)</f>
        <v>2.1794599192005104</v>
      </c>
      <c r="V50" s="76">
        <f t="shared" si="15"/>
        <v>2353432</v>
      </c>
      <c r="W50" s="169">
        <f t="shared" si="15"/>
        <v>2623710</v>
      </c>
      <c r="X50" s="202">
        <f t="shared" si="15"/>
        <v>4977142</v>
      </c>
      <c r="Y50" s="104">
        <f>P50+G50</f>
        <v>1983</v>
      </c>
      <c r="Z50" s="210">
        <f t="shared" si="12"/>
        <v>0.84259923379982948</v>
      </c>
      <c r="AA50" s="196">
        <f t="shared" si="13"/>
        <v>57</v>
      </c>
      <c r="AB50" s="239">
        <f t="shared" si="16"/>
        <v>2.1724961981316532E-2</v>
      </c>
      <c r="AC50" s="79">
        <f t="shared" si="7"/>
        <v>2040</v>
      </c>
      <c r="AD50" s="213">
        <f t="shared" si="14"/>
        <v>0.40987377896792981</v>
      </c>
      <c r="AE50" s="26">
        <f>SUM(P46:P50,R46:R50,T46:T50)</f>
        <v>22994</v>
      </c>
      <c r="AF50" t="s">
        <v>263</v>
      </c>
    </row>
    <row r="51" spans="1:32">
      <c r="AE51" t="s">
        <v>268</v>
      </c>
    </row>
    <row r="52" spans="1:32">
      <c r="B52" s="181">
        <v>2019</v>
      </c>
      <c r="C52" s="181"/>
      <c r="D52" s="181">
        <v>2018</v>
      </c>
      <c r="E52" s="181"/>
      <c r="F52" s="181"/>
      <c r="G52" s="178">
        <v>2019</v>
      </c>
      <c r="H52" s="179"/>
      <c r="I52" s="179"/>
      <c r="J52" s="179"/>
      <c r="K52" s="179"/>
      <c r="L52" s="180"/>
      <c r="M52" s="181">
        <v>2018</v>
      </c>
      <c r="N52" s="181"/>
      <c r="O52" s="181"/>
      <c r="P52" s="178">
        <v>2019</v>
      </c>
      <c r="Q52" s="179"/>
      <c r="R52" s="179"/>
      <c r="S52" s="179"/>
      <c r="T52" s="179"/>
      <c r="U52" s="180"/>
      <c r="V52" s="181">
        <v>2018</v>
      </c>
      <c r="W52" s="181"/>
      <c r="X52" s="181"/>
      <c r="Y52" s="178">
        <v>2019</v>
      </c>
      <c r="Z52" s="179"/>
      <c r="AA52" s="179"/>
      <c r="AB52" s="179"/>
      <c r="AC52" s="179"/>
      <c r="AD52" s="180"/>
      <c r="AE52" s="233">
        <f>AE50/(AE48/1000)</f>
        <v>51.915153020331211</v>
      </c>
    </row>
    <row r="53" spans="1:32">
      <c r="B53" s="59" t="s">
        <v>19</v>
      </c>
      <c r="C53" s="59" t="s">
        <v>129</v>
      </c>
      <c r="D53" s="178" t="s">
        <v>251</v>
      </c>
      <c r="E53" s="179"/>
      <c r="F53" s="180"/>
      <c r="G53" s="178" t="s">
        <v>165</v>
      </c>
      <c r="H53" s="179"/>
      <c r="I53" s="179"/>
      <c r="J53" s="179"/>
      <c r="K53" s="179"/>
      <c r="L53" s="180"/>
      <c r="M53" s="178" t="s">
        <v>239</v>
      </c>
      <c r="N53" s="179"/>
      <c r="O53" s="180"/>
      <c r="P53" s="178" t="s">
        <v>164</v>
      </c>
      <c r="Q53" s="179"/>
      <c r="R53" s="179"/>
      <c r="S53" s="179"/>
      <c r="T53" s="179"/>
      <c r="U53" s="180"/>
      <c r="V53" s="178" t="s">
        <v>239</v>
      </c>
      <c r="W53" s="179"/>
      <c r="X53" s="180"/>
      <c r="Y53" s="178" t="s">
        <v>260</v>
      </c>
      <c r="Z53" s="179"/>
      <c r="AA53" s="179"/>
      <c r="AB53" s="179"/>
      <c r="AC53" s="179"/>
      <c r="AD53" s="180"/>
    </row>
    <row r="54" spans="1:32">
      <c r="B54" s="3"/>
      <c r="C54" s="74"/>
      <c r="D54" s="77" t="s">
        <v>9</v>
      </c>
      <c r="E54" s="77" t="s">
        <v>10</v>
      </c>
      <c r="F54" s="165" t="s">
        <v>11</v>
      </c>
      <c r="G54" s="112" t="s">
        <v>9</v>
      </c>
      <c r="H54" s="197" t="s">
        <v>252</v>
      </c>
      <c r="I54" s="112" t="s">
        <v>10</v>
      </c>
      <c r="J54" s="197" t="s">
        <v>252</v>
      </c>
      <c r="K54" s="197" t="s">
        <v>11</v>
      </c>
      <c r="L54" s="197" t="s">
        <v>252</v>
      </c>
      <c r="M54" s="59" t="s">
        <v>9</v>
      </c>
      <c r="N54" s="59" t="s">
        <v>10</v>
      </c>
      <c r="O54" s="59" t="s">
        <v>11</v>
      </c>
      <c r="P54" s="77" t="s">
        <v>9</v>
      </c>
      <c r="Q54" s="197" t="s">
        <v>252</v>
      </c>
      <c r="R54" s="77" t="s">
        <v>10</v>
      </c>
      <c r="S54" s="197" t="s">
        <v>252</v>
      </c>
      <c r="T54" s="172" t="s">
        <v>11</v>
      </c>
      <c r="U54" s="172" t="s">
        <v>252</v>
      </c>
      <c r="V54" s="59" t="s">
        <v>9</v>
      </c>
      <c r="W54" s="59" t="s">
        <v>10</v>
      </c>
      <c r="X54" s="59" t="s">
        <v>11</v>
      </c>
      <c r="Y54" s="77" t="s">
        <v>9</v>
      </c>
      <c r="Z54" s="197" t="s">
        <v>252</v>
      </c>
      <c r="AA54" s="77" t="s">
        <v>10</v>
      </c>
      <c r="AB54" s="197" t="s">
        <v>252</v>
      </c>
      <c r="AC54" s="172" t="s">
        <v>11</v>
      </c>
      <c r="AD54" s="172" t="s">
        <v>252</v>
      </c>
    </row>
    <row r="55" spans="1:32">
      <c r="A55" s="72" t="s">
        <v>202</v>
      </c>
      <c r="B55" s="106">
        <f>'AU Pop'!E22</f>
        <v>5611075</v>
      </c>
      <c r="C55" s="102">
        <f>'AU Pop'!F22</f>
        <v>0.22120830632986735</v>
      </c>
      <c r="D55" s="161">
        <f>'A&amp;TSI Pop'!M11</f>
        <v>2921254</v>
      </c>
      <c r="E55" s="161">
        <f>'A&amp;TSI Pop'!M29</f>
        <v>2771047</v>
      </c>
      <c r="F55" s="161">
        <f>'A&amp;TSI Pop'!M47</f>
        <v>5692301</v>
      </c>
      <c r="M55" s="171">
        <f>'A&amp;TSI Pop'!J11</f>
        <v>181881</v>
      </c>
      <c r="N55" s="171">
        <f>'A&amp;TSI Pop'!J29</f>
        <v>173569</v>
      </c>
      <c r="O55" s="177">
        <f>'A&amp;TSI Pop'!J47</f>
        <v>355450</v>
      </c>
      <c r="P55" s="158"/>
      <c r="R55" s="159"/>
      <c r="T55" s="159"/>
      <c r="U55" s="160"/>
      <c r="V55" s="168">
        <f>M55+D55</f>
        <v>3103135</v>
      </c>
      <c r="W55" s="168">
        <f>N55+E55</f>
        <v>2944616</v>
      </c>
      <c r="X55" s="163">
        <f>O55+F55</f>
        <v>6047751</v>
      </c>
      <c r="Y55" s="158"/>
      <c r="AA55" s="159"/>
      <c r="AC55" s="159"/>
      <c r="AD55" s="160"/>
    </row>
    <row r="56" spans="1:32">
      <c r="A56" s="1" t="s">
        <v>203</v>
      </c>
      <c r="B56" s="107">
        <f>'AU Pop'!E31</f>
        <v>2391969</v>
      </c>
      <c r="C56" s="55">
        <f>'AU Pop'!F31</f>
        <v>9.4299828692994928E-2</v>
      </c>
      <c r="D56" s="108">
        <f>'A&amp;TSI Pop'!M12</f>
        <v>826809</v>
      </c>
      <c r="E56" s="108">
        <f>'A&amp;TSI Pop'!M30</f>
        <v>793203</v>
      </c>
      <c r="F56" s="108">
        <f>'A&amp;TSI Pop'!M48</f>
        <v>1620012</v>
      </c>
      <c r="G56" s="170">
        <f>'Prison Pop'!M59</f>
        <v>3234</v>
      </c>
      <c r="H56" s="174">
        <f>G56/(D56/1000)</f>
        <v>3.9114233154210951</v>
      </c>
      <c r="I56" s="108">
        <f>'Prison Pop'!M76</f>
        <v>323</v>
      </c>
      <c r="J56" s="174">
        <f>I56/(E56/1000)</f>
        <v>0.40720975588846742</v>
      </c>
      <c r="K56" s="108">
        <f>SUM(G56:I56)</f>
        <v>3560.911423315421</v>
      </c>
      <c r="L56" s="174">
        <f>K56/(F56/1000)</f>
        <v>2.1980771891291058</v>
      </c>
      <c r="M56" s="109">
        <f>'A&amp;TSI Pop'!J12</f>
        <v>38165</v>
      </c>
      <c r="N56" s="109">
        <f>'A&amp;TSI Pop'!J30</f>
        <v>35897</v>
      </c>
      <c r="O56" s="109">
        <f>'A&amp;TSI Pop'!J48</f>
        <v>74062</v>
      </c>
      <c r="P56" s="109">
        <f>'Prison Pop'!M7</f>
        <v>2257</v>
      </c>
      <c r="Q56" s="174">
        <f>P56/(M56/1000)</f>
        <v>59.137953622428931</v>
      </c>
      <c r="R56" s="109">
        <f>'Prison Pop'!M24</f>
        <v>228</v>
      </c>
      <c r="S56" s="174">
        <f>R56/(N56/1000)</f>
        <v>6.3515056968548906</v>
      </c>
      <c r="T56" s="109">
        <f>SUM(P56:R56)</f>
        <v>2544.137953622429</v>
      </c>
      <c r="U56" s="175">
        <f>T56/(O56/1000)</f>
        <v>34.351461662153724</v>
      </c>
      <c r="V56" s="108">
        <f>M56+D56</f>
        <v>864974</v>
      </c>
      <c r="W56" s="170">
        <f>N56+E56</f>
        <v>829100</v>
      </c>
      <c r="X56" s="200">
        <f>O56+F56</f>
        <v>1694074</v>
      </c>
      <c r="Y56" s="103">
        <f>P56+G56</f>
        <v>5491</v>
      </c>
      <c r="Z56" s="174">
        <f>Y56/(V56/1000)</f>
        <v>6.348167690589543</v>
      </c>
      <c r="AA56" s="195">
        <f>R56+I56</f>
        <v>551</v>
      </c>
      <c r="AB56" s="174">
        <f>AA56/(W56/1000)</f>
        <v>0.66457604631528167</v>
      </c>
      <c r="AC56" s="195">
        <f>SUM(Y56:AA56)</f>
        <v>6048.3481676905894</v>
      </c>
      <c r="AD56" s="174">
        <f>AC56/(X56/1000)</f>
        <v>3.5702975003987953</v>
      </c>
    </row>
    <row r="57" spans="1:32">
      <c r="A57" s="1" t="s">
        <v>204</v>
      </c>
      <c r="B57" s="107">
        <f>'AU Pop'!E43</f>
        <v>3800500</v>
      </c>
      <c r="C57" s="55">
        <f>'AU Pop'!F43</f>
        <v>0.1498290734318577</v>
      </c>
      <c r="D57" s="109">
        <f>'A&amp;TSI Pop'!M14</f>
        <v>1742567</v>
      </c>
      <c r="E57" s="109">
        <f>'A&amp;TSI Pop'!M32</f>
        <v>1752002</v>
      </c>
      <c r="F57" s="109">
        <f>'A&amp;TSI Pop'!M50</f>
        <v>3494569</v>
      </c>
      <c r="G57" s="164">
        <f>'Prison Pop'!M61</f>
        <v>9950</v>
      </c>
      <c r="H57" s="175">
        <f t="shared" ref="H57:H60" si="17">G57/(D57/1000)</f>
        <v>5.7099669625328611</v>
      </c>
      <c r="I57" s="109">
        <f>'Prison Pop'!M78</f>
        <v>831</v>
      </c>
      <c r="J57" s="175">
        <f t="shared" ref="J57:J60" si="18">I57/(E57/1000)</f>
        <v>0.47431452703821114</v>
      </c>
      <c r="K57" s="109">
        <f>SUM(G57:I57)</f>
        <v>10786.709966962533</v>
      </c>
      <c r="L57" s="175">
        <f>K57/(F57/1000)</f>
        <v>3.086706820487028</v>
      </c>
      <c r="M57" s="109">
        <f>'A&amp;TSI Pop'!J14</f>
        <v>57229</v>
      </c>
      <c r="N57" s="109">
        <f>'A&amp;TSI Pop'!J32</f>
        <v>56583</v>
      </c>
      <c r="O57" s="109">
        <f>'A&amp;TSI Pop'!J50</f>
        <v>113812</v>
      </c>
      <c r="P57" s="109">
        <f>'Prison Pop'!M9</f>
        <v>4271</v>
      </c>
      <c r="Q57" s="175">
        <f t="shared" ref="Q57:Q60" si="19">P57/(M57/1000)</f>
        <v>74.629995282112219</v>
      </c>
      <c r="R57" s="109">
        <f>'Prison Pop'!M26</f>
        <v>462</v>
      </c>
      <c r="S57" s="175">
        <f t="shared" ref="S57:S60" si="20">R57/(N57/1000)</f>
        <v>8.1649965537352216</v>
      </c>
      <c r="T57" s="109">
        <f>SUM(P57:R57)</f>
        <v>4807.6299952821118</v>
      </c>
      <c r="U57" s="175">
        <f>T57/(O57/1000)</f>
        <v>42.241854947475765</v>
      </c>
      <c r="V57" s="109">
        <f>M57+D57</f>
        <v>1799796</v>
      </c>
      <c r="W57" s="164">
        <f>N57+E57</f>
        <v>1808585</v>
      </c>
      <c r="X57" s="201">
        <f>O57+F57</f>
        <v>3608381</v>
      </c>
      <c r="Y57" s="103">
        <f>P57+G57</f>
        <v>14221</v>
      </c>
      <c r="Z57" s="175">
        <f t="shared" ref="Z57:Z60" si="21">Y57/(V57/1000)</f>
        <v>7.9014510533416011</v>
      </c>
      <c r="AA57" s="195">
        <f t="shared" ref="AA57:AA60" si="22">R57+I57</f>
        <v>1293</v>
      </c>
      <c r="AB57" s="175">
        <f t="shared" ref="AB57:AB60" si="23">AA57/(W57/1000)</f>
        <v>0.71492354520246493</v>
      </c>
      <c r="AC57" s="195">
        <f>SUM(Y57:AA57)</f>
        <v>15521.901451053342</v>
      </c>
      <c r="AD57" s="175">
        <f t="shared" ref="AD57:AD60" si="24">AC57/(X57/1000)</f>
        <v>4.3016248702820858</v>
      </c>
    </row>
    <row r="58" spans="1:32">
      <c r="A58" s="1" t="s">
        <v>205</v>
      </c>
      <c r="B58" s="107">
        <f>'AU Pop'!E55</f>
        <v>3377016</v>
      </c>
      <c r="C58" s="55">
        <f>'AU Pop'!F55</f>
        <v>0.13313384508474105</v>
      </c>
      <c r="D58" s="109">
        <f>'A&amp;TSI Pop'!M16</f>
        <v>1566762</v>
      </c>
      <c r="E58" s="109">
        <f>'A&amp;TSI Pop'!M34</f>
        <v>1579694</v>
      </c>
      <c r="F58" s="109">
        <f>'A&amp;TSI Pop'!M52</f>
        <v>3146456</v>
      </c>
      <c r="G58" s="164">
        <f>'Prison Pop'!M63</f>
        <v>8145</v>
      </c>
      <c r="H58" s="175">
        <f t="shared" si="17"/>
        <v>5.1986198286657448</v>
      </c>
      <c r="I58" s="109">
        <f>'Prison Pop'!M80</f>
        <v>675</v>
      </c>
      <c r="J58" s="175">
        <f t="shared" si="18"/>
        <v>0.42729794504505303</v>
      </c>
      <c r="K58" s="109">
        <f>SUM(G58:I58)</f>
        <v>8825.198619828665</v>
      </c>
      <c r="L58" s="175">
        <f>K58/(F58/1000)</f>
        <v>2.8048059848377553</v>
      </c>
      <c r="M58" s="109">
        <f>'A&amp;TSI Pop'!J16</f>
        <v>42746</v>
      </c>
      <c r="N58" s="109">
        <f>'A&amp;TSI Pop'!J34</f>
        <v>45036</v>
      </c>
      <c r="O58" s="109">
        <f>'A&amp;TSI Pop'!J52</f>
        <v>87782</v>
      </c>
      <c r="P58" s="109">
        <f>'Prison Pop'!M11</f>
        <v>2723</v>
      </c>
      <c r="Q58" s="175">
        <f t="shared" si="19"/>
        <v>63.701866841341875</v>
      </c>
      <c r="R58" s="109">
        <f>'Prison Pop'!M28</f>
        <v>336</v>
      </c>
      <c r="S58" s="175">
        <f t="shared" si="20"/>
        <v>7.4606981081801225</v>
      </c>
      <c r="T58" s="109">
        <f>SUM(P58:R58)</f>
        <v>3122.7018668413421</v>
      </c>
      <c r="U58" s="175">
        <f>T58/(O58/1000)</f>
        <v>35.573373434660205</v>
      </c>
      <c r="V58" s="109">
        <f t="shared" ref="V58:V60" si="25">M58+D58</f>
        <v>1609508</v>
      </c>
      <c r="W58" s="164">
        <f t="shared" ref="W58:W60" si="26">N58+E58</f>
        <v>1624730</v>
      </c>
      <c r="X58" s="201">
        <f t="shared" ref="X58:X60" si="27">O58+F58</f>
        <v>3234238</v>
      </c>
      <c r="Y58" s="103">
        <f>P58+G58</f>
        <v>10868</v>
      </c>
      <c r="Z58" s="175">
        <f t="shared" si="21"/>
        <v>6.7523740174015909</v>
      </c>
      <c r="AA58" s="195">
        <f t="shared" si="22"/>
        <v>1011</v>
      </c>
      <c r="AB58" s="175">
        <f t="shared" si="23"/>
        <v>0.62225723658700216</v>
      </c>
      <c r="AC58" s="195">
        <f>SUM(Y58:AA58)</f>
        <v>11885.752374017402</v>
      </c>
      <c r="AD58" s="175">
        <f t="shared" si="24"/>
        <v>3.674977652855913</v>
      </c>
    </row>
    <row r="59" spans="1:32">
      <c r="A59" s="1" t="s">
        <v>206</v>
      </c>
      <c r="B59" s="107">
        <f>'AU Pop'!E67</f>
        <v>3213179</v>
      </c>
      <c r="C59" s="55">
        <f>'AU Pop'!F67</f>
        <v>0.12667481445617762</v>
      </c>
      <c r="D59" s="109">
        <f>'A&amp;TSI Pop'!M18</f>
        <v>1510465</v>
      </c>
      <c r="E59" s="109">
        <f>'A&amp;TSI Pop'!M36</f>
        <v>1562479</v>
      </c>
      <c r="F59" s="109">
        <f>'A&amp;TSI Pop'!M54</f>
        <v>3072944</v>
      </c>
      <c r="G59" s="164">
        <f>'Prison Pop'!M65</f>
        <v>4486</v>
      </c>
      <c r="H59" s="175">
        <f t="shared" si="17"/>
        <v>2.9699463410274323</v>
      </c>
      <c r="I59" s="109">
        <f>'Prison Pop'!M82</f>
        <v>363</v>
      </c>
      <c r="J59" s="175">
        <f t="shared" si="18"/>
        <v>0.23232312242276534</v>
      </c>
      <c r="K59" s="109">
        <f>SUM(G59:I59)</f>
        <v>4851.969946341027</v>
      </c>
      <c r="L59" s="175">
        <f>K59/(F59/1000)</f>
        <v>1.5789321075623335</v>
      </c>
      <c r="M59" s="109">
        <f>'A&amp;TSI Pop'!J18</f>
        <v>37991</v>
      </c>
      <c r="N59" s="109">
        <f>'A&amp;TSI Pop'!J36</f>
        <v>42471</v>
      </c>
      <c r="O59" s="109">
        <f>'A&amp;TSI Pop'!J54</f>
        <v>80462</v>
      </c>
      <c r="P59" s="109">
        <f>'Prison Pop'!M13</f>
        <v>1155</v>
      </c>
      <c r="Q59" s="175">
        <f t="shared" si="19"/>
        <v>30.401937300939696</v>
      </c>
      <c r="R59" s="109">
        <f>'Prison Pop'!M30</f>
        <v>115</v>
      </c>
      <c r="S59" s="175">
        <f t="shared" si="20"/>
        <v>2.7077299804572532</v>
      </c>
      <c r="T59" s="109">
        <f>SUM(P59:R59)</f>
        <v>1300.4019373009396</v>
      </c>
      <c r="U59" s="175">
        <f>T59/(O59/1000)</f>
        <v>16.161690453890525</v>
      </c>
      <c r="V59" s="109">
        <f t="shared" si="25"/>
        <v>1548456</v>
      </c>
      <c r="W59" s="164">
        <f t="shared" si="26"/>
        <v>1604950</v>
      </c>
      <c r="X59" s="201">
        <f t="shared" si="27"/>
        <v>3153406</v>
      </c>
      <c r="Y59" s="103">
        <f>P59+G59</f>
        <v>5641</v>
      </c>
      <c r="Z59" s="175">
        <f t="shared" si="21"/>
        <v>3.6429837205577686</v>
      </c>
      <c r="AA59" s="195">
        <f t="shared" si="22"/>
        <v>478</v>
      </c>
      <c r="AB59" s="175">
        <f t="shared" si="23"/>
        <v>0.29782859279105267</v>
      </c>
      <c r="AC59" s="195">
        <f>SUM(Y59:AA59)</f>
        <v>6122.6429837205578</v>
      </c>
      <c r="AD59" s="175">
        <f t="shared" si="24"/>
        <v>1.9415967952495041</v>
      </c>
    </row>
    <row r="60" spans="1:32">
      <c r="A60" s="1" t="s">
        <v>189</v>
      </c>
      <c r="B60" s="73">
        <f>'AU Pop'!E107</f>
        <v>6971832</v>
      </c>
      <c r="C60" s="7">
        <f>'AU Pop'!F107</f>
        <v>0.27485413200436132</v>
      </c>
      <c r="D60" s="76">
        <f>'A&amp;TSI Pop'!M23</f>
        <v>3036769</v>
      </c>
      <c r="E60" s="76">
        <f>'A&amp;TSI Pop'!M41</f>
        <v>3329491</v>
      </c>
      <c r="F60" s="76">
        <f>'A&amp;TSI Pop'!M59</f>
        <v>6366260</v>
      </c>
      <c r="G60" s="169">
        <f>'Prison Pop'!M68</f>
        <v>2989</v>
      </c>
      <c r="H60" s="176">
        <f t="shared" si="17"/>
        <v>0.98426979464029041</v>
      </c>
      <c r="I60" s="76">
        <f>'Prison Pop'!M85</f>
        <v>150</v>
      </c>
      <c r="J60" s="176">
        <f t="shared" si="18"/>
        <v>4.5051931361280148E-2</v>
      </c>
      <c r="K60" s="76">
        <f>SUM(G60:I60)</f>
        <v>3139.9842697946401</v>
      </c>
      <c r="L60" s="176">
        <f>K60/(F60/1000)</f>
        <v>0.49322275084502359</v>
      </c>
      <c r="M60" s="76">
        <f>'A&amp;TSI Pop'!J23</f>
        <v>40401</v>
      </c>
      <c r="N60" s="76">
        <f>'A&amp;TSI Pop'!J41</f>
        <v>46396</v>
      </c>
      <c r="O60" s="76">
        <f>'A&amp;TSI Pop'!J59</f>
        <v>86797</v>
      </c>
      <c r="P60" s="76">
        <f>'Prison Pop'!M16</f>
        <v>309</v>
      </c>
      <c r="Q60" s="176">
        <f t="shared" si="19"/>
        <v>7.6483255364966212</v>
      </c>
      <c r="R60" s="76">
        <f>'Prison Pop'!M33</f>
        <v>19</v>
      </c>
      <c r="S60" s="176">
        <f t="shared" si="20"/>
        <v>0.40951806190188811</v>
      </c>
      <c r="T60" s="76">
        <f>SUM(P60:R60)</f>
        <v>335.6483255364966</v>
      </c>
      <c r="U60" s="176">
        <f>T60/(O60/1000)</f>
        <v>3.8670498466133232</v>
      </c>
      <c r="V60" s="76">
        <f t="shared" si="25"/>
        <v>3077170</v>
      </c>
      <c r="W60" s="169">
        <f t="shared" si="26"/>
        <v>3375887</v>
      </c>
      <c r="X60" s="202">
        <f t="shared" si="27"/>
        <v>6453057</v>
      </c>
      <c r="Y60" s="104">
        <f>P60+G60</f>
        <v>3298</v>
      </c>
      <c r="Z60" s="176">
        <f t="shared" si="21"/>
        <v>1.071763990939727</v>
      </c>
      <c r="AA60" s="196">
        <f t="shared" si="22"/>
        <v>169</v>
      </c>
      <c r="AB60" s="176">
        <f t="shared" si="23"/>
        <v>5.0060917323358274E-2</v>
      </c>
      <c r="AC60" s="196">
        <f>SUM(Y60:AA60)</f>
        <v>3468.0717639909399</v>
      </c>
      <c r="AD60" s="176">
        <f t="shared" si="24"/>
        <v>0.53743082758930227</v>
      </c>
    </row>
    <row r="62" spans="1:32">
      <c r="B62" s="158">
        <v>2018</v>
      </c>
      <c r="C62" s="173">
        <f>802/SUM(N56:N60)</f>
        <v>3.5426688399747331E-3</v>
      </c>
      <c r="D62" s="159" t="s">
        <v>209</v>
      </c>
      <c r="E62" s="159"/>
      <c r="F62" s="159"/>
      <c r="G62" s="159"/>
      <c r="H62" s="159"/>
      <c r="I62" s="159"/>
      <c r="J62" s="160"/>
    </row>
    <row r="63" spans="1:32">
      <c r="B63" s="178" t="s">
        <v>210</v>
      </c>
      <c r="C63" s="179"/>
      <c r="D63" s="179"/>
      <c r="E63" s="179"/>
      <c r="F63" s="179"/>
      <c r="G63" s="179"/>
      <c r="H63" s="179"/>
      <c r="I63" s="179"/>
      <c r="J63" s="180"/>
      <c r="K63" s="114"/>
    </row>
    <row r="64" spans="1:32">
      <c r="B64" s="112" t="s">
        <v>12</v>
      </c>
      <c r="C64" s="112" t="s">
        <v>13</v>
      </c>
      <c r="D64" s="112" t="s">
        <v>173</v>
      </c>
      <c r="E64" s="112" t="s">
        <v>14</v>
      </c>
      <c r="F64" s="112" t="s">
        <v>15</v>
      </c>
      <c r="G64" s="112" t="s">
        <v>16</v>
      </c>
      <c r="H64" s="112" t="s">
        <v>208</v>
      </c>
      <c r="I64" s="112" t="s">
        <v>211</v>
      </c>
      <c r="J64" s="59" t="s">
        <v>212</v>
      </c>
    </row>
    <row r="65" spans="1:10">
      <c r="A65" t="s">
        <v>9</v>
      </c>
      <c r="B65" s="110">
        <v>0.04</v>
      </c>
      <c r="C65" s="110">
        <v>0.06</v>
      </c>
      <c r="D65" s="110">
        <v>0.13</v>
      </c>
      <c r="E65" s="110"/>
      <c r="F65" s="110"/>
      <c r="G65" s="110">
        <v>0.01</v>
      </c>
      <c r="H65" s="110">
        <v>0.25</v>
      </c>
      <c r="I65" s="110">
        <v>0.74</v>
      </c>
      <c r="J65" s="110">
        <v>0.11</v>
      </c>
    </row>
    <row r="66" spans="1:10">
      <c r="A66" t="s">
        <v>10</v>
      </c>
      <c r="B66" s="111">
        <v>0.03</v>
      </c>
      <c r="C66" s="111">
        <v>0.03</v>
      </c>
      <c r="D66" s="111">
        <v>0.27</v>
      </c>
      <c r="E66" s="111"/>
      <c r="F66" s="111"/>
      <c r="G66" s="111">
        <v>0</v>
      </c>
      <c r="H66" s="111">
        <v>0.36</v>
      </c>
      <c r="I66" s="111">
        <v>0.86</v>
      </c>
      <c r="J66" s="111">
        <v>0.05</v>
      </c>
    </row>
    <row r="67" spans="1:10">
      <c r="A67" t="s">
        <v>146</v>
      </c>
      <c r="B67" s="110">
        <v>0.05</v>
      </c>
      <c r="C67" s="110">
        <v>0.09</v>
      </c>
      <c r="D67" s="110">
        <v>0.11</v>
      </c>
      <c r="E67" s="110"/>
      <c r="F67" s="110"/>
      <c r="G67" s="110">
        <v>0.01</v>
      </c>
      <c r="H67" s="110">
        <v>0.23</v>
      </c>
      <c r="I67" s="110">
        <v>0.8</v>
      </c>
      <c r="J67" s="110">
        <v>0.06</v>
      </c>
    </row>
    <row r="68" spans="1:10">
      <c r="A68" t="s">
        <v>147</v>
      </c>
      <c r="B68" s="111">
        <v>0.03</v>
      </c>
      <c r="C68" s="111">
        <v>0.04</v>
      </c>
      <c r="D68" s="111">
        <v>0.19</v>
      </c>
      <c r="E68" s="111"/>
      <c r="F68" s="111"/>
      <c r="G68" s="111">
        <v>0.01</v>
      </c>
      <c r="H68" s="111">
        <v>0.28000000000000003</v>
      </c>
      <c r="I68" s="111">
        <v>0.73</v>
      </c>
      <c r="J68" s="111">
        <v>0.12</v>
      </c>
    </row>
    <row r="69" spans="1:10">
      <c r="A69" s="72" t="s">
        <v>202</v>
      </c>
      <c r="B69" s="78"/>
      <c r="C69" s="78"/>
      <c r="D69" s="78"/>
      <c r="E69" s="78"/>
      <c r="F69" s="78"/>
      <c r="G69" s="78"/>
      <c r="H69" s="78"/>
      <c r="I69" s="78"/>
      <c r="J69" s="78"/>
    </row>
    <row r="70" spans="1:10">
      <c r="A70" s="1" t="s">
        <v>203</v>
      </c>
      <c r="B70" s="113">
        <v>0.01</v>
      </c>
      <c r="C70" s="113">
        <v>0.01</v>
      </c>
      <c r="D70" s="113">
        <v>0.18</v>
      </c>
      <c r="E70" s="113"/>
      <c r="F70" s="113"/>
      <c r="G70" s="113">
        <v>0.01</v>
      </c>
      <c r="H70" s="113">
        <v>0.21</v>
      </c>
      <c r="I70" s="113">
        <v>0.8</v>
      </c>
      <c r="J70" s="113">
        <v>0.05</v>
      </c>
    </row>
    <row r="71" spans="1:10">
      <c r="A71" s="1" t="s">
        <v>204</v>
      </c>
      <c r="B71" s="113">
        <v>0.02</v>
      </c>
      <c r="C71" s="113">
        <v>0.03</v>
      </c>
      <c r="D71" s="113">
        <v>0.15</v>
      </c>
      <c r="E71" s="113"/>
      <c r="F71" s="113"/>
      <c r="G71" s="113">
        <v>0.01</v>
      </c>
      <c r="H71" s="113">
        <v>0.2</v>
      </c>
      <c r="I71" s="113">
        <v>0.76</v>
      </c>
      <c r="J71" s="113">
        <v>0.1</v>
      </c>
    </row>
    <row r="72" spans="1:10">
      <c r="A72" s="1" t="s">
        <v>205</v>
      </c>
      <c r="B72" s="113">
        <v>0.04</v>
      </c>
      <c r="C72" s="113">
        <v>0.08</v>
      </c>
      <c r="D72" s="113">
        <v>0.15</v>
      </c>
      <c r="E72" s="113"/>
      <c r="F72" s="113"/>
      <c r="G72" s="113">
        <v>0</v>
      </c>
      <c r="H72" s="113">
        <v>0.28000000000000003</v>
      </c>
      <c r="I72" s="113">
        <v>0.79</v>
      </c>
      <c r="J72" s="113">
        <v>0.09</v>
      </c>
    </row>
    <row r="73" spans="1:10">
      <c r="A73" s="1" t="s">
        <v>206</v>
      </c>
      <c r="B73" s="113">
        <v>0.04</v>
      </c>
      <c r="C73" s="113">
        <v>0.08</v>
      </c>
      <c r="D73" s="113">
        <v>0.18</v>
      </c>
      <c r="E73" s="113"/>
      <c r="F73" s="113"/>
      <c r="G73" s="113">
        <v>0.03</v>
      </c>
      <c r="H73" s="113">
        <v>0.36</v>
      </c>
      <c r="I73" s="113">
        <v>0.66</v>
      </c>
      <c r="J73" s="113">
        <v>0.15</v>
      </c>
    </row>
    <row r="74" spans="1:10">
      <c r="A74" s="1" t="s">
        <v>189</v>
      </c>
      <c r="B74" s="111">
        <v>0.38</v>
      </c>
      <c r="C74" s="111">
        <v>0.28999999999999998</v>
      </c>
      <c r="D74" s="111">
        <v>0.09</v>
      </c>
      <c r="E74" s="111"/>
      <c r="F74" s="111"/>
      <c r="G74" s="111">
        <v>0</v>
      </c>
      <c r="H74" s="111">
        <v>0.71</v>
      </c>
      <c r="I74" s="111">
        <v>0.53</v>
      </c>
      <c r="J74" s="111">
        <v>0.21</v>
      </c>
    </row>
    <row r="75" spans="1:10">
      <c r="A75" s="1"/>
      <c r="B75" s="214"/>
      <c r="C75" s="214"/>
      <c r="D75" s="214"/>
      <c r="E75" s="214"/>
      <c r="F75" s="214"/>
      <c r="G75" s="214"/>
      <c r="H75" s="214"/>
      <c r="I75" s="214"/>
      <c r="J75" s="214"/>
    </row>
    <row r="76" spans="1:10">
      <c r="A76" s="1"/>
      <c r="B76" s="214"/>
      <c r="C76" s="214"/>
      <c r="D76" s="214"/>
      <c r="E76" s="214"/>
      <c r="F76" s="214"/>
      <c r="G76" s="214"/>
      <c r="H76" s="214"/>
      <c r="I76" s="214"/>
      <c r="J76" s="214"/>
    </row>
    <row r="77" spans="1:10">
      <c r="A77" s="1" t="s">
        <v>282</v>
      </c>
      <c r="B77" s="59" t="s">
        <v>273</v>
      </c>
      <c r="C77" s="215" t="s">
        <v>283</v>
      </c>
      <c r="D77" s="215" t="s">
        <v>269</v>
      </c>
      <c r="E77" s="214"/>
      <c r="F77" s="214"/>
      <c r="G77" s="214"/>
      <c r="H77" s="214"/>
      <c r="I77" s="214"/>
      <c r="J77" s="214"/>
    </row>
    <row r="78" spans="1:10">
      <c r="A78" t="s">
        <v>9</v>
      </c>
      <c r="B78" s="167">
        <f>SUM(Y45:Y50)</f>
        <v>39519</v>
      </c>
      <c r="C78" s="54">
        <f>H27</f>
        <v>1.7159199237368923E-2</v>
      </c>
      <c r="D78" s="222">
        <f>B78*C78</f>
        <v>678.11439466158242</v>
      </c>
      <c r="E78" s="214"/>
      <c r="F78" s="214"/>
      <c r="G78" s="214"/>
      <c r="H78" s="214"/>
      <c r="I78" s="214"/>
      <c r="J78" s="214"/>
    </row>
    <row r="79" spans="1:10">
      <c r="A79" t="s">
        <v>10</v>
      </c>
      <c r="B79" s="104">
        <f>SUM(AA45:AA50)</f>
        <v>3502</v>
      </c>
      <c r="C79" s="47">
        <f>I27</f>
        <v>1.3790891597177678E-2</v>
      </c>
      <c r="D79" s="207">
        <f>B79*C79</f>
        <v>48.295702373316232</v>
      </c>
      <c r="E79" s="214"/>
      <c r="F79" s="214"/>
      <c r="G79" s="214"/>
      <c r="H79" s="214"/>
      <c r="I79" s="214"/>
      <c r="J79" s="214"/>
    </row>
    <row r="80" spans="1:10">
      <c r="A80" s="1"/>
      <c r="B80" s="214"/>
      <c r="C80" s="214"/>
      <c r="D80" s="214"/>
      <c r="E80" s="214"/>
      <c r="F80" s="214"/>
      <c r="G80" s="214"/>
      <c r="H80" s="214"/>
      <c r="I80" s="214"/>
      <c r="J80" s="214"/>
    </row>
    <row r="81" spans="1:25">
      <c r="A81" s="1"/>
      <c r="B81" s="214"/>
      <c r="C81" s="214"/>
      <c r="D81" s="214"/>
      <c r="E81" s="214"/>
      <c r="F81" s="214"/>
      <c r="G81" s="214"/>
      <c r="H81" s="214"/>
      <c r="I81" s="214"/>
      <c r="J81" s="214"/>
    </row>
    <row r="82" spans="1:25">
      <c r="A82" s="1" t="s">
        <v>271</v>
      </c>
      <c r="B82" s="214"/>
      <c r="C82" s="214"/>
      <c r="D82" s="214"/>
      <c r="E82" s="214"/>
      <c r="F82" s="214"/>
      <c r="G82" s="214"/>
      <c r="H82" s="214"/>
      <c r="I82" s="214"/>
      <c r="J82" s="214"/>
    </row>
    <row r="83" spans="1:25">
      <c r="A83" s="1"/>
      <c r="B83" s="214"/>
      <c r="C83" s="219" t="s">
        <v>11</v>
      </c>
      <c r="D83" s="220"/>
      <c r="E83" s="219" t="s">
        <v>237</v>
      </c>
      <c r="F83" s="220"/>
      <c r="G83" s="219" t="s">
        <v>146</v>
      </c>
      <c r="H83" s="220"/>
      <c r="I83" s="214"/>
      <c r="J83" s="214"/>
    </row>
    <row r="84" spans="1:25">
      <c r="A84" s="1"/>
      <c r="B84" s="215" t="s">
        <v>168</v>
      </c>
      <c r="C84" s="215" t="s">
        <v>273</v>
      </c>
      <c r="D84" s="59" t="s">
        <v>269</v>
      </c>
      <c r="E84" s="59" t="s">
        <v>273</v>
      </c>
      <c r="F84" s="215" t="s">
        <v>269</v>
      </c>
      <c r="G84" s="215" t="s">
        <v>273</v>
      </c>
      <c r="H84" s="215" t="s">
        <v>269</v>
      </c>
      <c r="I84" s="214"/>
      <c r="J84" s="214"/>
    </row>
    <row r="85" spans="1:25">
      <c r="A85" s="1" t="s">
        <v>2</v>
      </c>
      <c r="B85" s="100">
        <f>J20</f>
        <v>0</v>
      </c>
      <c r="C85" s="195">
        <f>AC46</f>
        <v>13043</v>
      </c>
      <c r="D85" s="105">
        <f>C85*B85</f>
        <v>0</v>
      </c>
      <c r="E85" s="195">
        <f>K46</f>
        <v>8439</v>
      </c>
      <c r="F85" s="80">
        <f>E85*B85</f>
        <v>0</v>
      </c>
      <c r="G85" s="103">
        <f>T46</f>
        <v>4604</v>
      </c>
      <c r="H85" s="80">
        <f>G85*B85</f>
        <v>0</v>
      </c>
      <c r="I85" s="214"/>
      <c r="J85" s="195">
        <f>E85+G85</f>
        <v>13043</v>
      </c>
    </row>
    <row r="86" spans="1:25">
      <c r="A86" s="1" t="s">
        <v>3</v>
      </c>
      <c r="B86" s="100">
        <f>J21</f>
        <v>0</v>
      </c>
      <c r="C86" s="195">
        <f t="shared" ref="C86:C90" si="28">AC47</f>
        <v>14584</v>
      </c>
      <c r="D86" s="105">
        <f t="shared" ref="D86:D89" si="29">C86*B86</f>
        <v>0</v>
      </c>
      <c r="E86" s="195">
        <f t="shared" ref="E86:E90" si="30">K47</f>
        <v>10529</v>
      </c>
      <c r="F86" s="105">
        <f t="shared" ref="F86:F89" si="31">E86*B86</f>
        <v>0</v>
      </c>
      <c r="G86" s="103">
        <f t="shared" ref="G86:G90" si="32">T47</f>
        <v>4055</v>
      </c>
      <c r="H86" s="105">
        <f t="shared" ref="H86:H89" si="33">G86*B86</f>
        <v>0</v>
      </c>
      <c r="I86" s="214"/>
      <c r="J86" s="214"/>
    </row>
    <row r="87" spans="1:25">
      <c r="A87" s="1" t="s">
        <v>4</v>
      </c>
      <c r="B87" s="100">
        <f>J22</f>
        <v>1.2738853503184713E-3</v>
      </c>
      <c r="C87" s="195">
        <f t="shared" si="28"/>
        <v>8840</v>
      </c>
      <c r="D87" s="105">
        <f t="shared" si="29"/>
        <v>11.261146496815286</v>
      </c>
      <c r="E87" s="195">
        <f t="shared" si="30"/>
        <v>6767</v>
      </c>
      <c r="F87" s="105">
        <f t="shared" si="31"/>
        <v>8.6203821656050952</v>
      </c>
      <c r="G87" s="103">
        <f t="shared" si="32"/>
        <v>2073</v>
      </c>
      <c r="H87" s="105">
        <f t="shared" si="33"/>
        <v>2.6407643312101912</v>
      </c>
      <c r="I87" s="214"/>
      <c r="J87" s="214"/>
    </row>
    <row r="88" spans="1:25">
      <c r="A88" s="1" t="s">
        <v>5</v>
      </c>
      <c r="B88" s="100">
        <f>J23</f>
        <v>1.9880715705765406E-3</v>
      </c>
      <c r="C88" s="195">
        <f t="shared" si="28"/>
        <v>3760</v>
      </c>
      <c r="D88" s="105">
        <f t="shared" si="29"/>
        <v>7.4751491053677928</v>
      </c>
      <c r="E88" s="195">
        <f t="shared" si="30"/>
        <v>3118</v>
      </c>
      <c r="F88" s="105">
        <f t="shared" si="31"/>
        <v>6.1988071570576535</v>
      </c>
      <c r="G88" s="103">
        <f t="shared" si="32"/>
        <v>642</v>
      </c>
      <c r="H88" s="105">
        <f t="shared" si="33"/>
        <v>1.276341948310139</v>
      </c>
      <c r="I88" s="214"/>
      <c r="J88" s="214"/>
    </row>
    <row r="89" spans="1:25">
      <c r="A89" s="1" t="s">
        <v>201</v>
      </c>
      <c r="B89" s="111">
        <f>SUM(F24:F26)/SUM(F10:F12)</f>
        <v>4.8654244306418216E-2</v>
      </c>
      <c r="C89" s="195">
        <f t="shared" si="28"/>
        <v>2040</v>
      </c>
      <c r="D89" s="79">
        <f t="shared" si="29"/>
        <v>99.254658385093165</v>
      </c>
      <c r="E89" s="195">
        <f t="shared" si="30"/>
        <v>1917</v>
      </c>
      <c r="F89" s="79">
        <f t="shared" si="31"/>
        <v>93.270186335403722</v>
      </c>
      <c r="G89" s="103">
        <f t="shared" si="32"/>
        <v>123</v>
      </c>
      <c r="H89" s="79">
        <f t="shared" si="33"/>
        <v>5.9844720496894404</v>
      </c>
      <c r="I89" s="214"/>
      <c r="J89" s="214"/>
    </row>
    <row r="90" spans="1:25">
      <c r="A90" s="1" t="s">
        <v>207</v>
      </c>
      <c r="B90" s="214"/>
      <c r="C90" s="218">
        <f>SUM(C85:C89)</f>
        <v>42267</v>
      </c>
      <c r="D90" s="218">
        <f t="shared" ref="D90:H90" si="34">SUM(D85:D89)</f>
        <v>117.99095398727624</v>
      </c>
      <c r="E90" s="218">
        <f>SUM(E85:E89)</f>
        <v>30770</v>
      </c>
      <c r="F90" s="218">
        <f t="shared" si="34"/>
        <v>108.08937565806647</v>
      </c>
      <c r="G90" s="218">
        <f>SUM(G85:G89)</f>
        <v>11497</v>
      </c>
      <c r="H90" s="218">
        <f t="shared" si="34"/>
        <v>9.9015783292097694</v>
      </c>
      <c r="I90" s="214"/>
      <c r="J90" s="214"/>
    </row>
    <row r="91" spans="1:25">
      <c r="A91" s="1" t="s">
        <v>270</v>
      </c>
      <c r="B91" s="214"/>
      <c r="C91" s="214"/>
      <c r="D91" s="218">
        <f>D90*0.8</f>
        <v>94.392763189820997</v>
      </c>
      <c r="E91" s="214"/>
      <c r="F91" s="218">
        <f>F90*0.8</f>
        <v>86.471500526453184</v>
      </c>
      <c r="G91" s="214"/>
      <c r="H91" s="218">
        <f>H90*0.8</f>
        <v>7.9212626633678163</v>
      </c>
      <c r="I91" s="214"/>
      <c r="J91" s="214"/>
    </row>
    <row r="92" spans="1:25">
      <c r="A92" s="1"/>
      <c r="B92" s="214"/>
      <c r="C92" s="214"/>
      <c r="D92" s="214"/>
      <c r="E92" s="214"/>
      <c r="F92" s="214"/>
      <c r="G92" s="214"/>
      <c r="H92" s="214"/>
      <c r="I92" s="214"/>
      <c r="J92" s="214"/>
    </row>
    <row r="93" spans="1:25">
      <c r="A93" s="1"/>
      <c r="B93" s="214"/>
      <c r="C93" s="214"/>
      <c r="D93" s="214"/>
      <c r="E93" s="214"/>
      <c r="F93" s="214"/>
      <c r="G93" s="214"/>
      <c r="H93" s="214"/>
      <c r="I93" s="214"/>
      <c r="J93" s="214"/>
    </row>
    <row r="94" spans="1:25">
      <c r="A94" s="1" t="s">
        <v>272</v>
      </c>
      <c r="B94" s="214"/>
      <c r="C94" s="214"/>
      <c r="D94" s="214"/>
      <c r="E94" s="214"/>
      <c r="F94" s="214"/>
      <c r="G94" s="214"/>
      <c r="H94" s="214"/>
      <c r="I94" s="214"/>
      <c r="J94" s="214"/>
    </row>
    <row r="95" spans="1:25">
      <c r="B95" s="52" t="s">
        <v>273</v>
      </c>
      <c r="C95" s="158" t="s">
        <v>12</v>
      </c>
      <c r="D95" s="159" t="s">
        <v>274</v>
      </c>
      <c r="E95" s="159" t="s">
        <v>269</v>
      </c>
      <c r="F95" s="158" t="s">
        <v>13</v>
      </c>
      <c r="G95" s="159" t="s">
        <v>274</v>
      </c>
      <c r="H95" s="159" t="s">
        <v>269</v>
      </c>
      <c r="I95" s="158" t="s">
        <v>173</v>
      </c>
      <c r="J95" s="159" t="s">
        <v>274</v>
      </c>
      <c r="K95" s="159" t="s">
        <v>269</v>
      </c>
      <c r="L95" s="158" t="s">
        <v>16</v>
      </c>
      <c r="M95" s="159" t="s">
        <v>274</v>
      </c>
      <c r="N95" s="160" t="s">
        <v>269</v>
      </c>
      <c r="O95" s="229" t="s">
        <v>275</v>
      </c>
      <c r="P95" s="227" t="s">
        <v>276</v>
      </c>
      <c r="R95" s="59" t="s">
        <v>14</v>
      </c>
      <c r="S95" s="158" t="s">
        <v>15</v>
      </c>
      <c r="T95" s="158" t="s">
        <v>208</v>
      </c>
      <c r="U95" s="228" t="s">
        <v>274</v>
      </c>
      <c r="V95" s="158" t="s">
        <v>211</v>
      </c>
      <c r="W95" s="228" t="s">
        <v>274</v>
      </c>
      <c r="X95" s="158" t="s">
        <v>212</v>
      </c>
      <c r="Y95" s="227" t="s">
        <v>274</v>
      </c>
    </row>
    <row r="96" spans="1:25">
      <c r="A96" s="78" t="s">
        <v>9</v>
      </c>
      <c r="B96" s="221">
        <f>SUM(Y45:Y50)</f>
        <v>39519</v>
      </c>
      <c r="C96" s="113">
        <v>0.04</v>
      </c>
      <c r="D96" s="195">
        <f>B96*C96</f>
        <v>1580.76</v>
      </c>
      <c r="E96" s="195">
        <f>D96*$C$31</f>
        <v>165.97979999999998</v>
      </c>
      <c r="F96" s="113">
        <v>0.06</v>
      </c>
      <c r="G96" s="195">
        <f>B96*F96</f>
        <v>2371.14</v>
      </c>
      <c r="H96" s="195">
        <f>G96*$C$32</f>
        <v>173.09321999999997</v>
      </c>
      <c r="I96" s="113">
        <v>0.13</v>
      </c>
      <c r="J96" s="195">
        <f>B96*I96</f>
        <v>5137.47</v>
      </c>
      <c r="K96" s="195">
        <f>J96*$C$33</f>
        <v>323.66061000000002</v>
      </c>
      <c r="L96" s="113">
        <v>0.01</v>
      </c>
      <c r="M96" s="195">
        <f>B96*L96</f>
        <v>395.19</v>
      </c>
      <c r="N96" s="206">
        <f>M96*$C$36</f>
        <v>22.13064</v>
      </c>
      <c r="O96" s="167">
        <f>D96+G96+J96+M96</f>
        <v>9484.56</v>
      </c>
      <c r="P96" s="222">
        <f>E96+H96+K96+N96</f>
        <v>684.86426999999992</v>
      </c>
      <c r="R96" s="110" t="s">
        <v>18</v>
      </c>
      <c r="S96" s="110" t="s">
        <v>18</v>
      </c>
      <c r="T96" s="113">
        <v>0.25</v>
      </c>
      <c r="U96" s="80">
        <f>B96*T96</f>
        <v>9879.75</v>
      </c>
      <c r="V96" s="113">
        <v>0.74</v>
      </c>
      <c r="W96" s="80">
        <f>B96*V96</f>
        <v>29244.06</v>
      </c>
      <c r="X96" s="113">
        <v>0.11</v>
      </c>
      <c r="Y96" s="80">
        <f>B96*X96</f>
        <v>4347.09</v>
      </c>
    </row>
    <row r="97" spans="1:25">
      <c r="A97" s="112" t="s">
        <v>10</v>
      </c>
      <c r="B97" s="196">
        <f>SUM(AA45:AA50)</f>
        <v>3502</v>
      </c>
      <c r="C97" s="111">
        <v>0.03</v>
      </c>
      <c r="D97" s="196">
        <f>B97*C97</f>
        <v>105.06</v>
      </c>
      <c r="E97" s="196">
        <f>D97*$C$31</f>
        <v>11.0313</v>
      </c>
      <c r="F97" s="111">
        <v>0.03</v>
      </c>
      <c r="G97" s="196">
        <f>B97*F97</f>
        <v>105.06</v>
      </c>
      <c r="H97" s="196">
        <f>G97*$C$32</f>
        <v>7.6693799999999994</v>
      </c>
      <c r="I97" s="111">
        <v>0.27</v>
      </c>
      <c r="J97" s="196">
        <f>B97*I97</f>
        <v>945.54000000000008</v>
      </c>
      <c r="K97" s="196">
        <f>J97*$C$33</f>
        <v>59.569020000000002</v>
      </c>
      <c r="L97" s="111">
        <v>0</v>
      </c>
      <c r="M97" s="196">
        <f>B97*L97</f>
        <v>0</v>
      </c>
      <c r="N97" s="207">
        <f>M97*$C$36</f>
        <v>0</v>
      </c>
      <c r="O97" s="104">
        <f t="shared" ref="O97:O104" si="35">D97+G97+J97+M97</f>
        <v>1155.6600000000001</v>
      </c>
      <c r="P97" s="207">
        <f t="shared" ref="P97:P104" si="36">E97+H97+K97+N97</f>
        <v>78.2697</v>
      </c>
      <c r="R97" s="111" t="s">
        <v>18</v>
      </c>
      <c r="S97" s="111" t="s">
        <v>18</v>
      </c>
      <c r="T97" s="111">
        <v>0.36</v>
      </c>
      <c r="U97" s="79">
        <f>B97*T97</f>
        <v>1260.72</v>
      </c>
      <c r="V97" s="111">
        <v>0.86</v>
      </c>
      <c r="W97" s="79">
        <f>B97*V97</f>
        <v>3011.72</v>
      </c>
      <c r="X97" s="111">
        <v>0.05</v>
      </c>
      <c r="Y97" s="79">
        <f>B97*X97</f>
        <v>175.10000000000002</v>
      </c>
    </row>
    <row r="98" spans="1:25">
      <c r="A98" s="78" t="s">
        <v>146</v>
      </c>
      <c r="B98" s="195">
        <f>SUM(T45:T50)</f>
        <v>11875</v>
      </c>
      <c r="C98" s="110">
        <v>0.05</v>
      </c>
      <c r="D98" s="221">
        <f>B98*C98</f>
        <v>593.75</v>
      </c>
      <c r="E98" s="221">
        <f>D98*$C$31</f>
        <v>62.34375</v>
      </c>
      <c r="F98" s="110">
        <v>0.09</v>
      </c>
      <c r="G98" s="221">
        <f>B98*F98</f>
        <v>1068.75</v>
      </c>
      <c r="H98" s="221">
        <f>G98*$C$32</f>
        <v>78.018749999999997</v>
      </c>
      <c r="I98" s="110">
        <v>0.11</v>
      </c>
      <c r="J98" s="221">
        <f>B98*I98</f>
        <v>1306.25</v>
      </c>
      <c r="K98" s="221">
        <f>J98*$C$33</f>
        <v>82.293750000000003</v>
      </c>
      <c r="L98" s="110">
        <v>0.01</v>
      </c>
      <c r="M98" s="221">
        <f>B98*L98</f>
        <v>118.75</v>
      </c>
      <c r="N98" s="222">
        <f>M98*$C$36</f>
        <v>6.65</v>
      </c>
      <c r="O98" s="167">
        <f t="shared" si="35"/>
        <v>3087.5</v>
      </c>
      <c r="P98" s="222">
        <f t="shared" si="36"/>
        <v>229.30625000000001</v>
      </c>
      <c r="R98" s="110" t="s">
        <v>18</v>
      </c>
      <c r="S98" s="110" t="s">
        <v>18</v>
      </c>
      <c r="T98" s="110">
        <v>0.23</v>
      </c>
      <c r="U98" s="80">
        <f>B98*T98</f>
        <v>2731.25</v>
      </c>
      <c r="V98" s="110">
        <v>0.8</v>
      </c>
      <c r="W98" s="80">
        <f>B98*V98</f>
        <v>9500</v>
      </c>
      <c r="X98" s="110">
        <v>0.06</v>
      </c>
      <c r="Y98" s="80">
        <f>B98*X98</f>
        <v>712.5</v>
      </c>
    </row>
    <row r="99" spans="1:25">
      <c r="A99" s="112" t="s">
        <v>147</v>
      </c>
      <c r="B99" s="195">
        <f>SUM(K45:K50)</f>
        <v>31146</v>
      </c>
      <c r="C99" s="111">
        <v>0.03</v>
      </c>
      <c r="D99" s="195">
        <f>B99*C99</f>
        <v>934.38</v>
      </c>
      <c r="E99" s="195">
        <f>D99*$C$31</f>
        <v>98.109899999999996</v>
      </c>
      <c r="F99" s="111">
        <v>0.04</v>
      </c>
      <c r="G99" s="195">
        <f>B99*F99</f>
        <v>1245.8399999999999</v>
      </c>
      <c r="H99" s="195">
        <f>G99*$C$32</f>
        <v>90.946319999999986</v>
      </c>
      <c r="I99" s="111">
        <v>0.19</v>
      </c>
      <c r="J99" s="195">
        <f>B99*I99</f>
        <v>5917.74</v>
      </c>
      <c r="K99" s="195">
        <f>J99*$C$33</f>
        <v>372.81761999999998</v>
      </c>
      <c r="L99" s="111">
        <v>0.01</v>
      </c>
      <c r="M99" s="195">
        <f>B99*L99</f>
        <v>311.45999999999998</v>
      </c>
      <c r="N99" s="206">
        <f>M99*$C$36</f>
        <v>17.441759999999999</v>
      </c>
      <c r="O99" s="104">
        <f t="shared" si="35"/>
        <v>8409.4199999999983</v>
      </c>
      <c r="P99" s="207">
        <f t="shared" si="36"/>
        <v>579.31560000000002</v>
      </c>
      <c r="R99" s="111" t="s">
        <v>18</v>
      </c>
      <c r="S99" s="111" t="s">
        <v>18</v>
      </c>
      <c r="T99" s="111">
        <v>0.28000000000000003</v>
      </c>
      <c r="U99" s="79">
        <f>B99*T99</f>
        <v>8720.880000000001</v>
      </c>
      <c r="V99" s="111">
        <v>0.73</v>
      </c>
      <c r="W99" s="79">
        <f>B99*V99</f>
        <v>22736.579999999998</v>
      </c>
      <c r="X99" s="111">
        <v>0.12</v>
      </c>
      <c r="Y99" s="79">
        <f>B99*X99</f>
        <v>3737.52</v>
      </c>
    </row>
    <row r="100" spans="1:25">
      <c r="A100" s="224" t="s">
        <v>203</v>
      </c>
      <c r="B100" s="80">
        <f>AC56</f>
        <v>6048.3481676905894</v>
      </c>
      <c r="C100" s="223">
        <v>0.01</v>
      </c>
      <c r="D100" s="167">
        <f t="shared" ref="D100:D104" si="37">B100*C100</f>
        <v>60.483481676905896</v>
      </c>
      <c r="E100" s="222">
        <f t="shared" ref="E100:E104" si="38">D100*$C$31</f>
        <v>6.3507655760751192</v>
      </c>
      <c r="F100" s="214">
        <v>0.01</v>
      </c>
      <c r="G100" s="167">
        <f t="shared" ref="G100:G104" si="39">B100*F100</f>
        <v>60.483481676905896</v>
      </c>
      <c r="H100" s="222">
        <f t="shared" ref="H100:H104" si="40">G100*$C$32</f>
        <v>4.4152941624141304</v>
      </c>
      <c r="I100" s="214">
        <v>0.18</v>
      </c>
      <c r="J100" s="167">
        <f t="shared" ref="J100:J104" si="41">B100*I100</f>
        <v>1088.702670184306</v>
      </c>
      <c r="K100" s="222">
        <f t="shared" ref="K100:K104" si="42">J100*$C$33</f>
        <v>68.588268221611287</v>
      </c>
      <c r="L100" s="214">
        <v>0.01</v>
      </c>
      <c r="M100" s="167">
        <f t="shared" ref="M100:M104" si="43">B100*L100</f>
        <v>60.483481676905896</v>
      </c>
      <c r="N100" s="222">
        <f t="shared" ref="N100:N104" si="44">M100*$C$36</f>
        <v>3.3870749739067301</v>
      </c>
      <c r="O100" s="167">
        <f t="shared" si="35"/>
        <v>1270.1531152150237</v>
      </c>
      <c r="P100" s="222">
        <f t="shared" si="36"/>
        <v>82.741402934007269</v>
      </c>
      <c r="R100" s="78" t="s">
        <v>18</v>
      </c>
      <c r="S100" s="78" t="s">
        <v>18</v>
      </c>
      <c r="T100" s="113">
        <v>0.21</v>
      </c>
      <c r="U100" s="80">
        <f>B100*T100</f>
        <v>1270.1531152150237</v>
      </c>
      <c r="V100" s="113">
        <v>0.8</v>
      </c>
      <c r="W100" s="80">
        <f>B100*V100</f>
        <v>4838.6785341524719</v>
      </c>
      <c r="X100" s="113">
        <v>0.05</v>
      </c>
      <c r="Y100" s="80">
        <f>B100*X100</f>
        <v>302.41740838452949</v>
      </c>
    </row>
    <row r="101" spans="1:25">
      <c r="A101" s="225" t="s">
        <v>204</v>
      </c>
      <c r="B101" s="105">
        <f t="shared" ref="B101:B104" si="45">AC57</f>
        <v>15521.901451053342</v>
      </c>
      <c r="C101" s="223">
        <v>0.02</v>
      </c>
      <c r="D101" s="103">
        <f t="shared" si="37"/>
        <v>310.43802902106682</v>
      </c>
      <c r="E101" s="206">
        <f t="shared" si="38"/>
        <v>32.595993047212012</v>
      </c>
      <c r="F101" s="214">
        <v>0.03</v>
      </c>
      <c r="G101" s="103">
        <f t="shared" si="39"/>
        <v>465.65704353160021</v>
      </c>
      <c r="H101" s="206">
        <f t="shared" si="40"/>
        <v>33.992964177806812</v>
      </c>
      <c r="I101" s="214">
        <v>0.15</v>
      </c>
      <c r="J101" s="103">
        <f t="shared" si="41"/>
        <v>2328.2852176580013</v>
      </c>
      <c r="K101" s="206">
        <f t="shared" si="42"/>
        <v>146.68196871245408</v>
      </c>
      <c r="L101" s="214">
        <v>0.01</v>
      </c>
      <c r="M101" s="103">
        <f t="shared" si="43"/>
        <v>155.21901451053341</v>
      </c>
      <c r="N101" s="206">
        <f t="shared" si="44"/>
        <v>8.6922648125898707</v>
      </c>
      <c r="O101" s="103">
        <f t="shared" si="35"/>
        <v>3259.5993047212014</v>
      </c>
      <c r="P101" s="206">
        <f t="shared" si="36"/>
        <v>221.96319075006278</v>
      </c>
      <c r="R101" s="77" t="s">
        <v>18</v>
      </c>
      <c r="S101" s="77" t="s">
        <v>18</v>
      </c>
      <c r="T101" s="113">
        <v>0.2</v>
      </c>
      <c r="U101" s="105">
        <f>B101*T101</f>
        <v>3104.3802902106686</v>
      </c>
      <c r="V101" s="113">
        <v>0.76</v>
      </c>
      <c r="W101" s="105">
        <f>B101*V101</f>
        <v>11796.645102800539</v>
      </c>
      <c r="X101" s="113">
        <v>0.1</v>
      </c>
      <c r="Y101" s="105">
        <f>B101*X101</f>
        <v>1552.1901451053343</v>
      </c>
    </row>
    <row r="102" spans="1:25">
      <c r="A102" s="225" t="s">
        <v>205</v>
      </c>
      <c r="B102" s="105">
        <f t="shared" si="45"/>
        <v>11885.752374017402</v>
      </c>
      <c r="C102" s="223">
        <v>0.04</v>
      </c>
      <c r="D102" s="103">
        <f t="shared" si="37"/>
        <v>475.43009496069607</v>
      </c>
      <c r="E102" s="206">
        <f t="shared" si="38"/>
        <v>49.920159970873087</v>
      </c>
      <c r="F102" s="214">
        <v>0.08</v>
      </c>
      <c r="G102" s="103">
        <f t="shared" si="39"/>
        <v>950.86018992139213</v>
      </c>
      <c r="H102" s="206">
        <f t="shared" si="40"/>
        <v>69.412793864261616</v>
      </c>
      <c r="I102" s="214">
        <v>0.15</v>
      </c>
      <c r="J102" s="103">
        <f t="shared" si="41"/>
        <v>1782.8628561026103</v>
      </c>
      <c r="K102" s="206">
        <f t="shared" si="42"/>
        <v>112.32035993446445</v>
      </c>
      <c r="L102" s="214">
        <v>0</v>
      </c>
      <c r="M102" s="103">
        <f t="shared" si="43"/>
        <v>0</v>
      </c>
      <c r="N102" s="206">
        <f t="shared" si="44"/>
        <v>0</v>
      </c>
      <c r="O102" s="103">
        <f t="shared" si="35"/>
        <v>3209.1531409846984</v>
      </c>
      <c r="P102" s="206">
        <f t="shared" si="36"/>
        <v>231.65331376959915</v>
      </c>
      <c r="R102" s="77" t="s">
        <v>18</v>
      </c>
      <c r="S102" s="77" t="s">
        <v>18</v>
      </c>
      <c r="T102" s="113">
        <v>0.28000000000000003</v>
      </c>
      <c r="U102" s="105">
        <f>B102*T102</f>
        <v>3328.0106647248726</v>
      </c>
      <c r="V102" s="113">
        <v>0.79</v>
      </c>
      <c r="W102" s="105">
        <f>B102*V102</f>
        <v>9389.7443754737487</v>
      </c>
      <c r="X102" s="113">
        <v>0.09</v>
      </c>
      <c r="Y102" s="105">
        <f>B102*X102</f>
        <v>1069.7177136615662</v>
      </c>
    </row>
    <row r="103" spans="1:25">
      <c r="A103" s="225" t="s">
        <v>206</v>
      </c>
      <c r="B103" s="105">
        <f t="shared" si="45"/>
        <v>6122.6429837205578</v>
      </c>
      <c r="C103" s="223">
        <v>0.04</v>
      </c>
      <c r="D103" s="103">
        <f t="shared" si="37"/>
        <v>244.90571934882232</v>
      </c>
      <c r="E103" s="206">
        <f t="shared" si="38"/>
        <v>25.715100531626341</v>
      </c>
      <c r="F103" s="214">
        <v>0.08</v>
      </c>
      <c r="G103" s="103">
        <f t="shared" si="39"/>
        <v>489.81143869764463</v>
      </c>
      <c r="H103" s="206">
        <f t="shared" si="40"/>
        <v>35.756235024928053</v>
      </c>
      <c r="I103" s="214">
        <v>0.18</v>
      </c>
      <c r="J103" s="103">
        <f t="shared" si="41"/>
        <v>1102.0757370697004</v>
      </c>
      <c r="K103" s="206">
        <f t="shared" si="42"/>
        <v>69.430771435391122</v>
      </c>
      <c r="L103" s="214">
        <v>0.03</v>
      </c>
      <c r="M103" s="103">
        <f t="shared" si="43"/>
        <v>183.67928951161673</v>
      </c>
      <c r="N103" s="206">
        <f t="shared" si="44"/>
        <v>10.286040212650537</v>
      </c>
      <c r="O103" s="103">
        <f t="shared" si="35"/>
        <v>2020.4721846277839</v>
      </c>
      <c r="P103" s="206">
        <f t="shared" si="36"/>
        <v>141.18814720459605</v>
      </c>
      <c r="R103" s="77" t="s">
        <v>18</v>
      </c>
      <c r="S103" s="77" t="s">
        <v>18</v>
      </c>
      <c r="T103" s="113">
        <v>0.36</v>
      </c>
      <c r="U103" s="105">
        <f>B103*T103</f>
        <v>2204.1514741394008</v>
      </c>
      <c r="V103" s="113">
        <v>0.66</v>
      </c>
      <c r="W103" s="105">
        <f>B103*V103</f>
        <v>4040.9443692555683</v>
      </c>
      <c r="X103" s="113">
        <v>0.15</v>
      </c>
      <c r="Y103" s="105">
        <f>B103*X103</f>
        <v>918.39644755808365</v>
      </c>
    </row>
    <row r="104" spans="1:25">
      <c r="A104" s="226" t="s">
        <v>189</v>
      </c>
      <c r="B104" s="79">
        <f t="shared" si="45"/>
        <v>3468.0717639909399</v>
      </c>
      <c r="C104" s="216">
        <v>0.38</v>
      </c>
      <c r="D104" s="104">
        <f t="shared" si="37"/>
        <v>1317.8672703165571</v>
      </c>
      <c r="E104" s="207">
        <f t="shared" si="38"/>
        <v>138.37606338323849</v>
      </c>
      <c r="F104" s="217">
        <v>0.28999999999999998</v>
      </c>
      <c r="G104" s="104">
        <f t="shared" si="39"/>
        <v>1005.7408115573725</v>
      </c>
      <c r="H104" s="207">
        <f t="shared" si="40"/>
        <v>73.419079243688188</v>
      </c>
      <c r="I104" s="217">
        <v>0.09</v>
      </c>
      <c r="J104" s="104">
        <f t="shared" si="41"/>
        <v>312.12645875918457</v>
      </c>
      <c r="K104" s="207">
        <f t="shared" si="42"/>
        <v>19.66396690182863</v>
      </c>
      <c r="L104" s="217">
        <v>0</v>
      </c>
      <c r="M104" s="104">
        <f t="shared" si="43"/>
        <v>0</v>
      </c>
      <c r="N104" s="207">
        <f t="shared" si="44"/>
        <v>0</v>
      </c>
      <c r="O104" s="104">
        <f t="shared" si="35"/>
        <v>2635.7345406331142</v>
      </c>
      <c r="P104" s="207">
        <f t="shared" si="36"/>
        <v>231.45910952875533</v>
      </c>
      <c r="R104" s="112" t="s">
        <v>18</v>
      </c>
      <c r="S104" s="112" t="s">
        <v>18</v>
      </c>
      <c r="T104" s="111">
        <v>0.71</v>
      </c>
      <c r="U104" s="79">
        <f>B104*T104</f>
        <v>2462.3309524335673</v>
      </c>
      <c r="V104" s="111">
        <v>0.53</v>
      </c>
      <c r="W104" s="79">
        <f>B104*V104</f>
        <v>1838.0780349151983</v>
      </c>
      <c r="X104" s="111">
        <v>0.21</v>
      </c>
      <c r="Y104" s="79">
        <f>B104*X104</f>
        <v>728.29507043809735</v>
      </c>
    </row>
    <row r="105" spans="1:25">
      <c r="A105" s="1" t="s">
        <v>284</v>
      </c>
      <c r="B105" s="214"/>
      <c r="C105" s="214"/>
      <c r="D105" s="214"/>
      <c r="E105" s="214"/>
      <c r="F105" s="214"/>
      <c r="G105" s="214"/>
      <c r="H105" s="214"/>
      <c r="I105" s="214"/>
      <c r="J105" s="214"/>
      <c r="M105" t="s">
        <v>277</v>
      </c>
      <c r="O105" s="218">
        <f>SUM(O100:O104)</f>
        <v>12395.112286181822</v>
      </c>
      <c r="P105" s="218">
        <f>SUM(P100:P104)</f>
        <v>909.00516418702057</v>
      </c>
    </row>
    <row r="106" spans="1:25">
      <c r="A106" s="1"/>
      <c r="B106" s="214"/>
      <c r="C106" s="214"/>
      <c r="D106" s="214"/>
      <c r="E106" s="214"/>
      <c r="F106" s="214"/>
      <c r="G106" s="214"/>
      <c r="H106" s="214"/>
      <c r="I106" s="214"/>
      <c r="J106" s="214"/>
    </row>
    <row r="107" spans="1:25">
      <c r="A107" s="1"/>
      <c r="B107" s="214"/>
      <c r="C107" s="214"/>
      <c r="D107" s="214"/>
      <c r="E107" s="214"/>
      <c r="F107" s="214"/>
      <c r="G107" s="214"/>
      <c r="H107" s="214"/>
      <c r="I107" s="214"/>
      <c r="J107" s="214"/>
    </row>
    <row r="108" spans="1:25">
      <c r="A108" s="1"/>
      <c r="B108" s="214"/>
      <c r="C108" s="214"/>
      <c r="D108" s="214"/>
      <c r="E108" s="214"/>
      <c r="F108" s="214"/>
      <c r="G108" s="214"/>
      <c r="H108" s="214"/>
      <c r="I108" s="214"/>
      <c r="J108" s="214"/>
    </row>
    <row r="111" spans="1:25">
      <c r="B111" t="s">
        <v>214</v>
      </c>
    </row>
    <row r="112" spans="1:25">
      <c r="B112" t="s">
        <v>216</v>
      </c>
      <c r="E112" s="46" t="s">
        <v>218</v>
      </c>
    </row>
    <row r="113" spans="1:5">
      <c r="B113" t="s">
        <v>213</v>
      </c>
      <c r="E113" s="46" t="s">
        <v>215</v>
      </c>
    </row>
    <row r="114" spans="1:5">
      <c r="E114" s="46" t="s">
        <v>217</v>
      </c>
    </row>
    <row r="116" spans="1:5">
      <c r="A116" t="s">
        <v>221</v>
      </c>
    </row>
    <row r="117" spans="1:5">
      <c r="B117" s="20">
        <v>31000</v>
      </c>
      <c r="C117" t="s">
        <v>219</v>
      </c>
    </row>
    <row r="118" spans="1:5">
      <c r="B118" s="115">
        <v>81397.070000000007</v>
      </c>
      <c r="C118" t="s">
        <v>220</v>
      </c>
    </row>
    <row r="119" spans="1:5">
      <c r="B119" s="8">
        <v>0.41</v>
      </c>
      <c r="C119" t="s">
        <v>222</v>
      </c>
    </row>
    <row r="120" spans="1:5">
      <c r="B120" s="26">
        <f>B117*(1-B119)</f>
        <v>18290.000000000004</v>
      </c>
      <c r="C120" t="s">
        <v>287</v>
      </c>
    </row>
    <row r="121" spans="1:5">
      <c r="B121" s="26">
        <f>B117*B119</f>
        <v>12710</v>
      </c>
      <c r="C121" t="s">
        <v>288</v>
      </c>
    </row>
    <row r="122" spans="1:5">
      <c r="B122" s="8">
        <v>0.38</v>
      </c>
      <c r="C122" t="s">
        <v>223</v>
      </c>
    </row>
    <row r="123" spans="1:5">
      <c r="B123">
        <v>45</v>
      </c>
      <c r="C123" t="s">
        <v>224</v>
      </c>
    </row>
    <row r="124" spans="1:5">
      <c r="B124" s="8">
        <v>0.15</v>
      </c>
      <c r="C124" t="s">
        <v>225</v>
      </c>
    </row>
    <row r="130" spans="2:3">
      <c r="B130" t="s">
        <v>226</v>
      </c>
      <c r="C130" s="46" t="s">
        <v>227</v>
      </c>
    </row>
    <row r="132" spans="2:3">
      <c r="B132" t="s">
        <v>230</v>
      </c>
    </row>
    <row r="133" spans="2:3">
      <c r="B133" t="s">
        <v>228</v>
      </c>
      <c r="C133" s="46" t="s">
        <v>229</v>
      </c>
    </row>
    <row r="134" spans="2:3">
      <c r="C134" s="46" t="s">
        <v>253</v>
      </c>
    </row>
    <row r="135" spans="2:3">
      <c r="B135" t="s">
        <v>232</v>
      </c>
      <c r="C135" s="46" t="s">
        <v>231</v>
      </c>
    </row>
    <row r="136" spans="2:3">
      <c r="B136" t="s">
        <v>233</v>
      </c>
      <c r="C136" s="46" t="s">
        <v>234</v>
      </c>
    </row>
    <row r="138" spans="2:3">
      <c r="B138" t="s">
        <v>254</v>
      </c>
      <c r="C138" s="46" t="s">
        <v>255</v>
      </c>
    </row>
    <row r="139" spans="2:3">
      <c r="B139" t="s">
        <v>256</v>
      </c>
      <c r="C139" s="46" t="s">
        <v>257</v>
      </c>
    </row>
    <row r="140" spans="2:3">
      <c r="B140" t="s">
        <v>258</v>
      </c>
      <c r="C140" s="46" t="s">
        <v>259</v>
      </c>
    </row>
  </sheetData>
  <mergeCells count="43">
    <mergeCell ref="C83:D83"/>
    <mergeCell ref="E83:F83"/>
    <mergeCell ref="G83:H83"/>
    <mergeCell ref="Y40:AD40"/>
    <mergeCell ref="Y41:AD41"/>
    <mergeCell ref="Y52:AD52"/>
    <mergeCell ref="Y53:AD53"/>
    <mergeCell ref="V40:X40"/>
    <mergeCell ref="V41:X41"/>
    <mergeCell ref="V44:V45"/>
    <mergeCell ref="W44:W45"/>
    <mergeCell ref="X44:X45"/>
    <mergeCell ref="V52:X52"/>
    <mergeCell ref="V53:X53"/>
    <mergeCell ref="B3:C3"/>
    <mergeCell ref="D3:E3"/>
    <mergeCell ref="F3:G3"/>
    <mergeCell ref="M41:O41"/>
    <mergeCell ref="H16:J16"/>
    <mergeCell ref="G40:L40"/>
    <mergeCell ref="G41:L41"/>
    <mergeCell ref="B63:J63"/>
    <mergeCell ref="D41:F41"/>
    <mergeCell ref="B40:C40"/>
    <mergeCell ref="D44:D45"/>
    <mergeCell ref="E44:E45"/>
    <mergeCell ref="F44:F45"/>
    <mergeCell ref="G52:L52"/>
    <mergeCell ref="G53:L53"/>
    <mergeCell ref="B52:C52"/>
    <mergeCell ref="M53:O53"/>
    <mergeCell ref="D53:F53"/>
    <mergeCell ref="D40:F40"/>
    <mergeCell ref="M40:O40"/>
    <mergeCell ref="D52:F52"/>
    <mergeCell ref="M52:O52"/>
    <mergeCell ref="M44:M45"/>
    <mergeCell ref="N44:N45"/>
    <mergeCell ref="O44:O45"/>
    <mergeCell ref="P40:U40"/>
    <mergeCell ref="P41:U41"/>
    <mergeCell ref="P52:U52"/>
    <mergeCell ref="P53:U53"/>
  </mergeCells>
  <hyperlinks>
    <hyperlink ref="C30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13" r:id="rId4" xr:uid="{1585CA60-E6B6-42FD-BDBE-8EF974DA7901}"/>
    <hyperlink ref="E114" r:id="rId5" xr:uid="{C57D5C41-B8A1-4FAF-85B5-BAAEDF1FE18F}"/>
    <hyperlink ref="E112" r:id="rId6" xr:uid="{59CE06C0-7BDA-45E5-8E17-630827382160}"/>
    <hyperlink ref="C130" r:id="rId7" xr:uid="{EDDA48E5-EBBC-4EEF-AD0C-C4A613889633}"/>
    <hyperlink ref="C133" r:id="rId8" xr:uid="{79E99A61-67D0-4AA9-A28F-AE7580E87F34}"/>
    <hyperlink ref="C135" r:id="rId9" xr:uid="{D9CEC52A-8E70-47F4-BFC7-BF26577DE8C5}"/>
    <hyperlink ref="C136" r:id="rId10" xr:uid="{F3CE41E5-4126-4F42-A968-60AA002221F4}"/>
    <hyperlink ref="C134" r:id="rId11" xr:uid="{106FCC1A-4AC5-4E51-B991-1DE3A9D88BEC}"/>
    <hyperlink ref="C138" r:id="rId12" xr:uid="{A9675D30-9DDA-470C-AE28-023EE9CE7BA0}"/>
    <hyperlink ref="C139" r:id="rId13" xr:uid="{D40D0658-C2FE-4ABD-9D76-9799C01AC2C3}"/>
    <hyperlink ref="C140" r:id="rId14" display="https://www.publicdefenders.nsw.gov.au/Documents/butler-et-al-report-on-covid-19-and-impact on-nsw-prisoners.pdf" xr:uid="{3ED1E157-E9C9-4126-9B71-1B35FD600374}"/>
    <hyperlink ref="A32" r:id="rId15" xr:uid="{08A5AB61-BC31-4144-BE39-E60167E0FB18}"/>
    <hyperlink ref="A36" r:id="rId16" xr:uid="{01BBAF31-5A4B-44F7-B26F-87E03D4296FB}"/>
    <hyperlink ref="A35" r:id="rId17" xr:uid="{0D1A4070-8FC2-4EC3-8138-CC31CF0C857B}"/>
    <hyperlink ref="A37" r:id="rId18" xr:uid="{54907EF3-3EFC-4B9E-B2BD-03DC2CA5DB46}"/>
    <hyperlink ref="A38" r:id="rId19" xr:uid="{9090452A-5EE0-454D-A414-7AF24807C2F3}"/>
    <hyperlink ref="A34" r:id="rId20" xr:uid="{835DA959-D71B-4B56-94C4-289E50701209}"/>
    <hyperlink ref="A31" r:id="rId21" xr:uid="{57162B4F-9074-4543-A7ED-DEAC3AB59B9C}"/>
    <hyperlink ref="A33" r:id="rId22" xr:uid="{60813F71-2D48-4FC4-BB31-2C80537C581A}"/>
  </hyperlinks>
  <pageMargins left="0.7" right="0.7" top="0.75" bottom="0.75" header="0.3" footer="0.3"/>
  <pageSetup paperSize="9" orientation="portrait" horizontalDpi="0" verticalDpi="0" r:id="rId23"/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13" sqref="M13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188" t="s">
        <v>143</v>
      </c>
      <c r="B7" s="188"/>
      <c r="C7" s="188"/>
      <c r="D7" s="188"/>
      <c r="E7" s="189"/>
      <c r="F7" s="189"/>
      <c r="G7" s="188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188" t="s">
        <v>144</v>
      </c>
      <c r="B25" s="188"/>
      <c r="C25" s="188"/>
      <c r="D25" s="188"/>
      <c r="E25" s="189"/>
      <c r="F25" s="189"/>
      <c r="G25" s="188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188" t="s">
        <v>145</v>
      </c>
      <c r="B43" s="188"/>
      <c r="C43" s="188"/>
      <c r="D43" s="188"/>
      <c r="E43" s="189"/>
      <c r="F43" s="189"/>
      <c r="G43" s="188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190" t="s">
        <v>159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1" t="s">
        <v>207</v>
      </c>
      <c r="M3" s="191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190" t="s">
        <v>162</v>
      </c>
      <c r="B55" s="190"/>
      <c r="C55" s="190"/>
      <c r="D55" s="190"/>
      <c r="E55" s="190"/>
      <c r="F55" s="190"/>
      <c r="G55" s="190"/>
      <c r="H55" s="190"/>
      <c r="I55" s="190"/>
      <c r="J55" s="190"/>
      <c r="K55" s="190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190" t="s">
        <v>163</v>
      </c>
      <c r="B107" s="190"/>
      <c r="C107" s="190"/>
      <c r="D107" s="190"/>
      <c r="E107" s="190"/>
      <c r="F107" s="190"/>
      <c r="G107" s="190"/>
      <c r="H107" s="190"/>
      <c r="I107" s="190"/>
      <c r="J107" s="190"/>
      <c r="K107" s="190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192" t="s">
        <v>178</v>
      </c>
      <c r="C4" s="192"/>
      <c r="D4" s="192"/>
      <c r="E4" s="192"/>
      <c r="F4" s="192"/>
      <c r="G4" s="192"/>
      <c r="H4" s="192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192" t="s">
        <v>191</v>
      </c>
      <c r="C18" s="192"/>
      <c r="D18" s="192"/>
      <c r="E18" s="192"/>
      <c r="F18" s="192"/>
      <c r="G18" s="192"/>
      <c r="H18" s="192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Summaries</vt:lpstr>
      <vt:lpstr>AU Pop</vt:lpstr>
      <vt:lpstr>A&amp;TSI Pop</vt:lpstr>
      <vt:lpstr>Prison Pop</vt:lpstr>
      <vt:lpstr>Prison Chronic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2020-05-08T03:28:41Z</dcterms:modified>
</cp:coreProperties>
</file>