
<file path=[Content_Types].xml><?xml version="1.0" encoding="utf-8"?>
<Types xmlns="http://schemas.openxmlformats.org/package/2006/content-types">
  <Default Extension="bin" ContentType="application/vnd.openxmlformats-officedocument.spreadsheetml.customProperty"/>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mc:AlternateContent xmlns:mc="http://schemas.openxmlformats.org/markup-compatibility/2006">
    <mc:Choice Requires="x15">
      <x15ac:absPath xmlns:x15ac="http://schemas.microsoft.com/office/spreadsheetml/2010/11/ac" url="https://d.docs.live.net/312bc092b9f26f63/Documents/Financial Models/NP3/"/>
    </mc:Choice>
  </mc:AlternateContent>
  <xr:revisionPtr revIDLastSave="167" documentId="11_47687C22F425142F6FCAF50DC09051E328EF3893" xr6:coauthVersionLast="47" xr6:coauthVersionMax="47" xr10:uidLastSave="{50C51CEF-1BBE-46BD-AD39-6865CAA381B2}"/>
  <bookViews>
    <workbookView xWindow="-98" yWindow="-98" windowWidth="21795" windowHeight="13875" xr2:uid="{00000000-000D-0000-FFFF-FFFF00000000}"/>
  </bookViews>
  <sheets>
    <sheet name="Cover" sheetId="1" r:id="rId1"/>
    <sheet name="Contents" sheetId="2" r:id="rId2"/>
    <sheet name="InpC" sheetId="3" r:id="rId3"/>
    <sheet name="InpS" sheetId="4" r:id="rId4"/>
    <sheet name="InpT" sheetId="5" state="hidden" r:id="rId5"/>
    <sheet name="Time" sheetId="6" r:id="rId6"/>
    <sheet name="Defect" sheetId="7" state="hidden" r:id="rId7"/>
    <sheet name="Company Capital Structure" sheetId="8" r:id="rId8"/>
    <sheet name="Model Checks and Alerts" sheetId="9" state="hidden" r:id="rId9"/>
    <sheet name="Cohort Structure" sheetId="10" r:id="rId10"/>
    <sheet name="Portfolio Structure" sheetId="11" state="hidden" r:id="rId11"/>
    <sheet name="Fund Structure" sheetId="12" state="hidden" r:id="rId12"/>
    <sheet name="Company Report" sheetId="13" r:id="rId13"/>
    <sheet name="Cohort Report" sheetId="14" r:id="rId14"/>
    <sheet name="Fund Report" sheetId="15" r:id="rId15"/>
    <sheet name="Portfolio Report" sheetId="16" r:id="rId16"/>
    <sheet name="Results Table" sheetId="17" r:id="rId17"/>
    <sheet name="Output" sheetId="18" r:id="rId18"/>
    <sheet name="Issues" sheetId="19" r:id="rId19"/>
    <sheet name="Sheet1" sheetId="21" r:id="rId20"/>
    <sheet name="Styles" sheetId="20" r:id="rId21"/>
  </sheets>
  <definedNames>
    <definedName name="CASE_ACTIVE">InpC!$F$4</definedName>
    <definedName name="CASE_COMPARISON">InpC!$F$5</definedName>
    <definedName name="Cohort_Loan_Balance">'Cohort Structure'!$J$59:$S$59</definedName>
    <definedName name="Cohort_Loan_Balance.BEG">'Cohort Structure'!$J$57:$S$57</definedName>
    <definedName name="Companies_in_Cohort" xml:space="preserve"> InpC!$F$31</definedName>
    <definedName name="Constants">InpS!$F$1</definedName>
    <definedName name="DPI">'Cohort Structure'!$J$79:$S$79</definedName>
    <definedName name="ExampleInputRow">InpC!$14:$14</definedName>
    <definedName name="Exit_Proceeds">'Company Capital Structure'!$J$144:$S$144</definedName>
    <definedName name="Exit_Value">InpS!$J$23:$S$23</definedName>
    <definedName name="Exited_Companies">'Cohort Structure'!$J$40:$S$40</definedName>
    <definedName name="Exited_Companies.BEG">'Cohort Structure'!$J$38:$S$38</definedName>
    <definedName name="Failed_Companies">'Cohort Structure'!$J$46:$S$46</definedName>
    <definedName name="Failed_Companies.BEG">'Cohort Structure'!$J$44:$S$44</definedName>
    <definedName name="Financial_year_end_month" xml:space="preserve"> InpC!$F$13</definedName>
    <definedName name="FirstDifferenceCell" localSheetId="2">InpC!$I$13</definedName>
    <definedName name="FirstRow" localSheetId="2">InpC!$A$14</definedName>
    <definedName name="FirstRow">InpS!$A$7</definedName>
    <definedName name="FirstTime">InpS!$J$1</definedName>
    <definedName name="Headings">InpS!$E$2:$E$5</definedName>
    <definedName name="InputChanges" localSheetId="2">InpC!$F$7</definedName>
    <definedName name="Investor_Cofounder__">'Company Capital Structure'!$J$98:$S$98</definedName>
    <definedName name="Investor_Cofounder_Shares">'Company Capital Structure'!$J$73:$S$73</definedName>
    <definedName name="Investor_Cofounder_Shares.BEG">'Company Capital Structure'!$J$71:$S$71</definedName>
    <definedName name="Investor_Cofounder_Value">'Company Capital Structure'!$J$132:$S$132</definedName>
    <definedName name="Label">InpS!$E$1</definedName>
    <definedName name="Loan_and_Redemption_Premium_Repayment">'Company Capital Structure'!$J$156:$S$156</definedName>
    <definedName name="Loan_Note">'Company Capital Structure'!$J$14:$S$14</definedName>
    <definedName name="Loan_Note.BEG">'Company Capital Structure'!$J$12:$S$12</definedName>
    <definedName name="MasterALERT" localSheetId="13">'Cohort Report'!$F$3</definedName>
    <definedName name="MasterALERT" localSheetId="9">'Cohort Structure'!$F$3</definedName>
    <definedName name="MasterALERT" localSheetId="7">'Company Capital Structure'!$F$3</definedName>
    <definedName name="MasterALERT" localSheetId="12">'Company Report'!$F$3</definedName>
    <definedName name="MasterALERT" localSheetId="6">Defect!$F$3</definedName>
    <definedName name="MasterALERT" localSheetId="14">'Fund Report'!$F$3</definedName>
    <definedName name="MasterALERT" localSheetId="11">'Fund Structure'!$F$3</definedName>
    <definedName name="MasterALERT" localSheetId="3">InpS!$F$3</definedName>
    <definedName name="MasterALERT" localSheetId="4">InpT!$F$3</definedName>
    <definedName name="MasterALERT" localSheetId="8">'Model Checks and Alerts'!$F$3</definedName>
    <definedName name="MasterALERT" localSheetId="15">'Portfolio Report'!$F$3</definedName>
    <definedName name="MasterALERT" localSheetId="10">'Portfolio Structure'!$F$3</definedName>
    <definedName name="MasterALERT" localSheetId="16">'Results Table'!$F$3</definedName>
    <definedName name="MasterALERT" localSheetId="5">Time!$F$3</definedName>
    <definedName name="MasterCHK" localSheetId="13">'Cohort Report'!$F$2</definedName>
    <definedName name="MasterCHK" localSheetId="9">'Cohort Structure'!$F$2</definedName>
    <definedName name="MasterCHK" localSheetId="7">'Company Capital Structure'!$F$2</definedName>
    <definedName name="MasterCHK" localSheetId="12">'Company Report'!$F$2</definedName>
    <definedName name="MasterCHK" localSheetId="6">Defect!$F$2</definedName>
    <definedName name="MasterCHK" localSheetId="14">'Fund Report'!$F$2</definedName>
    <definedName name="MasterCHK" localSheetId="11">'Fund Structure'!$F$2</definedName>
    <definedName name="MasterCHK" localSheetId="3">InpS!$F$2</definedName>
    <definedName name="MasterCHK" localSheetId="4">InpT!$F$2</definedName>
    <definedName name="MasterCHK" localSheetId="8">'Model Checks and Alerts'!$F$2</definedName>
    <definedName name="MasterCHK" localSheetId="15">'Portfolio Report'!$F$2</definedName>
    <definedName name="MasterCHK" localSheetId="10">'Portfolio Structure'!$F$2</definedName>
    <definedName name="MasterCHK" localSheetId="16">'Results Table'!$F$2</definedName>
    <definedName name="MasterCHK" localSheetId="5">Time!$F$2</definedName>
    <definedName name="Model_period_end">Time!$J$12:$S$12</definedName>
    <definedName name="Model_period_start">Time!$J$23:$S$23</definedName>
    <definedName name="Months_per_period" xml:space="preserve"> InpC!$F$14</definedName>
    <definedName name="New_Capital_From_Investor_Cofounder">InpS!$J$18:$S$18</definedName>
    <definedName name="New_Capital_From_Other_Investor">InpS!$J$19:$S$19</definedName>
    <definedName name="New_Capital_From_Sector_Cofounder">InpS!$J$16:$S$16</definedName>
    <definedName name="New_Capital_From_Studio_Cofounder">InpS!$J$17:$S$17</definedName>
    <definedName name="New_Company_Loan_Note">InpS!$J$13:$S$13</definedName>
    <definedName name="Nominal_Price_per_Share" xml:space="preserve"> InpC!$F$25</definedName>
    <definedName name="obxIssuesLog">Issues!$A$5</definedName>
    <definedName name="Opening_Investor_Cofounder_Shares" xml:space="preserve"> InpC!$F$22</definedName>
    <definedName name="Opening_Loan_Note" xml:space="preserve"> InpC!$F$24</definedName>
    <definedName name="Opening_Other_Investor_Shares" xml:space="preserve"> InpC!$F$23</definedName>
    <definedName name="Opening_Sector_Cofounder_Shares" xml:space="preserve"> InpC!$F$20</definedName>
    <definedName name="Opening_Studio_Cofounder_Shares" xml:space="preserve"> InpC!$F$21</definedName>
    <definedName name="Other_Investor__">'Company Capital Structure'!$J$104:$S$104</definedName>
    <definedName name="Other_Investor_Shares">'Company Capital Structure'!$J$80:$S$80</definedName>
    <definedName name="Other_Investor_Shares.BEG">'Company Capital Structure'!$J$78:$S$78</definedName>
    <definedName name="Other_Investor_Value">'Company Capital Structure'!$J$138:$S$138</definedName>
    <definedName name="Percentage_Exit">InpS!$J$27:$S$27</definedName>
    <definedName name="Percentage_Fail">InpS!$J$26:$S$26</definedName>
    <definedName name="Percentage_Graduate">'Cohort Structure'!$J$22:$S$22</definedName>
    <definedName name="Percentage_Graduate.BEG">'Cohort Structure'!$J$19:$S$19</definedName>
    <definedName name="Period_number">Time!$J$16:$S$16</definedName>
    <definedName name="Periods_per_Year" xml:space="preserve"> InpC!$F$15</definedName>
    <definedName name="Post_Money_Valuation">'Company Report'!$J$29:$S$29</definedName>
    <definedName name="Pre_Money_Valuation">InpS!$J$20:$S$20</definedName>
    <definedName name="Price_per_Share">'Company Capital Structure'!$J$114:$S$114</definedName>
    <definedName name="Proceeds_to_Investor_Cofounder">'Company Capital Structure'!$J$180:$S$180</definedName>
    <definedName name="Proceeds_to_Other_Investor">'Company Capital Structure'!$J$186:$S$186</definedName>
    <definedName name="Proceeds_to_Sector_Cofounder">'Company Capital Structure'!$J$168:$S$168</definedName>
    <definedName name="Proceeds_to_Studio_Cofounder">'Company Capital Structure'!$J$174:$S$174</definedName>
    <definedName name="Redemption_Premium" xml:space="preserve"> InpC!$F$28</definedName>
    <definedName name="Remaing_Companies">'Cohort Structure'!$J$15:$S$15</definedName>
    <definedName name="Remaing_Companies.BEG">'Cohort Structure'!$J$12:$S$12</definedName>
    <definedName name="ReportBarFormat">Contents!$A$5</definedName>
    <definedName name="scenario">InpC!$I$4</definedName>
    <definedName name="ScenarioPointer">InpC!$K$2</definedName>
    <definedName name="Sector_Cofounder__">'Company Capital Structure'!$J$86:$S$86</definedName>
    <definedName name="Sector_Cofounder_Shares">'Company Capital Structure'!$J$66:$S$66</definedName>
    <definedName name="Sector_Cofounder_Shares.BEG">'Company Capital Structure'!$J$64:$S$64</definedName>
    <definedName name="Sector_Cofounder_Value">'Company Capital Structure'!$J$120:$S$120</definedName>
    <definedName name="SensitivityInputs">InpC!$O$13:$R$13</definedName>
    <definedName name="Start_date" xml:space="preserve"> InpC!$F$12</definedName>
    <definedName name="Studio_Cofounder__">'Company Capital Structure'!$J$92:$S$92</definedName>
    <definedName name="Studio_Cofounder_Shares">'Company Capital Structure'!$J$59:$S$59</definedName>
    <definedName name="Studio_Cofounder_Shares.BEG">'Company Capital Structure'!$J$57:$S$57</definedName>
    <definedName name="Studio_Cofounder_Value">'Company Capital Structure'!$J$126:$S$126</definedName>
    <definedName name="TimeRow">InpS!$A$2</definedName>
    <definedName name="TOCFirstLine">Contents!$A$6</definedName>
    <definedName name="TOCobxCohort_Structure">'Cohort Structure'!$A$1</definedName>
    <definedName name="TOCobxCohort_Structure.Companies">'Cohort Structure'!$A$9</definedName>
    <definedName name="TOCobxCohort_Structure.Loan">'Cohort Structure'!$A$49</definedName>
    <definedName name="TOCobxCohort_Structure.Metrics">'Cohort Structure'!$A$76</definedName>
    <definedName name="TOCobxCohort_Structure.Returns">'Cohort Structure'!$A$62</definedName>
    <definedName name="TOCobxCompany_Capital_Structure">'Company Capital Structure'!$A$1</definedName>
    <definedName name="TOCobxCompany_Capital_Structure.Debt">'Company Capital Structure'!$A$9</definedName>
    <definedName name="TOCobxCompany_Capital_Structure.Equity_Value">'Company Capital Structure'!$A$108</definedName>
    <definedName name="TOCobxCompany_Capital_Structure.Exit">'Company Capital Structure'!$A$142</definedName>
    <definedName name="TOCobxCompany_Capital_Structure.New_Shares">'Company Capital Structure'!$A$17</definedName>
    <definedName name="TOCobxCompany_Capital_Structure.Percentage_Shareholding">'Company Capital Structure'!$A$83</definedName>
    <definedName name="TOCobxCompany_Capital_Structure.Shares_In_Issue">'Company Capital Structure'!$A$54</definedName>
    <definedName name="TOCobxDefect">Defect!$A$1</definedName>
    <definedName name="TOCobxFund_Structure">'Fund Structure'!$A$1</definedName>
    <definedName name="TOCobxInputs">InpS!$A$1</definedName>
    <definedName name="TOCobxInputs.Cohort">InpS!$A$25</definedName>
    <definedName name="TOCobxInputs.Company">InpS!$A$10</definedName>
    <definedName name="TOCobxInputs.Company.Debt">InpS!$B$12</definedName>
    <definedName name="TOCobxInputs.Company.Equity">InpS!$B$15</definedName>
    <definedName name="TOCobxInputs.Company.Exit">InpS!$B$22</definedName>
    <definedName name="TOCobxInputs.Company.Opening_Balances">InpC!$B$19</definedName>
    <definedName name="TOCobxModel_Checks_and_Alerts">'Model Checks and Alerts'!$A$1</definedName>
    <definedName name="TOCobxPortfolio_Structure">'Portfolio Structure'!$A$1</definedName>
    <definedName name="TOCobxTime">Time!$A$1</definedName>
    <definedName name="TOCobxTime.Headers">Time!$A$9</definedName>
    <definedName name="TOCrepobxCohort_Report_Year">'Cohort Report'!$A$8</definedName>
    <definedName name="TOCrepobxCompany_Report_Year">'Company Report'!$A$8</definedName>
    <definedName name="Total__">'Company Report'!$J$24:$S$24</definedName>
    <definedName name="Total_Companies">'Cohort Report'!$J$16:$S$16</definedName>
    <definedName name="Total_Debt">'Company Report'!$J$10:$S$10</definedName>
    <definedName name="Total_Equity_Value">'Company Report'!$J$38:$S$38</definedName>
    <definedName name="Total_Exit_Proceeds">'Company Report'!$J$48:$S$48</definedName>
    <definedName name="Total_Investor_Cofounder_Return">'Cohort Structure'!$J$73:$S$73</definedName>
    <definedName name="Total_Investor_Cofounder_Return.BEG">'Cohort Structure'!$J$71:$S$71</definedName>
    <definedName name="Total_New_Capital_Raised_From_Equity">'Company Capital Structure'!$J$22:$S$22</definedName>
    <definedName name="Total_Shares_In_Issue">'Company Report'!$J$17:$S$17</definedName>
    <definedName name="Totals">InpS!$H$5</definedName>
    <definedName name="Units">InpS!$G$1</definedName>
  </definedNames>
  <calcPr calcId="191029" calcMode="manual"/>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3" i="4" l="1"/>
  <c r="H22" i="14" s="1"/>
  <c r="H20" i="4"/>
  <c r="H19" i="4"/>
  <c r="H18" i="4"/>
  <c r="H17" i="4"/>
  <c r="H16" i="4"/>
  <c r="H13" i="4"/>
  <c r="H19" i="14" s="1"/>
  <c r="A1" i="4"/>
  <c r="M7" i="3"/>
  <c r="L7" i="3"/>
  <c r="K7" i="3"/>
  <c r="I5" i="3"/>
  <c r="I4" i="3"/>
  <c r="A1" i="3"/>
  <c r="A1" i="19"/>
  <c r="H21" i="18"/>
  <c r="H20" i="18"/>
  <c r="K13" i="18"/>
  <c r="K12" i="18"/>
  <c r="K11" i="18"/>
  <c r="K10" i="18"/>
  <c r="J5" i="18"/>
  <c r="J2" i="18"/>
  <c r="H2" i="18"/>
  <c r="F1" i="17"/>
  <c r="A1" i="17"/>
  <c r="F1" i="16"/>
  <c r="A1" i="16"/>
  <c r="F1" i="15"/>
  <c r="A1" i="15"/>
  <c r="I25" i="14"/>
  <c r="H25" i="14"/>
  <c r="G25" i="14"/>
  <c r="F25" i="14"/>
  <c r="E25" i="14"/>
  <c r="H23" i="14"/>
  <c r="G23" i="14"/>
  <c r="F23" i="14"/>
  <c r="E23" i="14"/>
  <c r="S22" i="14"/>
  <c r="R22" i="14"/>
  <c r="Q22" i="14"/>
  <c r="P22" i="14"/>
  <c r="O22" i="14"/>
  <c r="N22" i="14"/>
  <c r="M22" i="14"/>
  <c r="L22" i="14"/>
  <c r="K22" i="14"/>
  <c r="J22" i="14"/>
  <c r="I22" i="14"/>
  <c r="G22" i="14"/>
  <c r="F22" i="14"/>
  <c r="E22" i="14"/>
  <c r="H20" i="14"/>
  <c r="G20" i="14"/>
  <c r="F20" i="14"/>
  <c r="E20" i="14"/>
  <c r="S19" i="14"/>
  <c r="R19" i="14"/>
  <c r="Q19" i="14"/>
  <c r="P19" i="14"/>
  <c r="O19" i="14"/>
  <c r="N19" i="14"/>
  <c r="M19" i="14"/>
  <c r="L19" i="14"/>
  <c r="K19" i="14"/>
  <c r="J19" i="14"/>
  <c r="I19" i="14"/>
  <c r="G19" i="14"/>
  <c r="F19" i="14"/>
  <c r="E19" i="14"/>
  <c r="H15" i="14"/>
  <c r="G15" i="14"/>
  <c r="F15" i="14"/>
  <c r="E15" i="14"/>
  <c r="I14" i="14"/>
  <c r="H14" i="14"/>
  <c r="G14" i="14"/>
  <c r="F14" i="14"/>
  <c r="E14" i="14"/>
  <c r="H13" i="14"/>
  <c r="G13" i="14"/>
  <c r="F13" i="14"/>
  <c r="E13" i="14"/>
  <c r="H11" i="14"/>
  <c r="G11" i="14"/>
  <c r="F11" i="14"/>
  <c r="E11" i="14"/>
  <c r="S10" i="14"/>
  <c r="R10" i="14"/>
  <c r="Q10" i="14"/>
  <c r="P10" i="14"/>
  <c r="O10" i="14"/>
  <c r="N10" i="14"/>
  <c r="M10" i="14"/>
  <c r="L10" i="14"/>
  <c r="K10" i="14"/>
  <c r="J10" i="14"/>
  <c r="I10" i="14"/>
  <c r="H10" i="14"/>
  <c r="G10" i="14"/>
  <c r="F10" i="14"/>
  <c r="E10" i="14"/>
  <c r="S9" i="14"/>
  <c r="R9" i="14"/>
  <c r="Q9" i="14"/>
  <c r="P9" i="14"/>
  <c r="O9" i="14"/>
  <c r="N9" i="14"/>
  <c r="M9" i="14"/>
  <c r="L9" i="14"/>
  <c r="K9" i="14"/>
  <c r="J9" i="14"/>
  <c r="I9" i="14"/>
  <c r="H9" i="14"/>
  <c r="G9" i="14"/>
  <c r="F9" i="14"/>
  <c r="E9" i="14"/>
  <c r="F1" i="14"/>
  <c r="A1" i="14"/>
  <c r="I47" i="13"/>
  <c r="G47" i="13"/>
  <c r="F47" i="13"/>
  <c r="E47" i="13"/>
  <c r="I46" i="13"/>
  <c r="G46" i="13"/>
  <c r="F46" i="13"/>
  <c r="E46" i="13"/>
  <c r="I45" i="13"/>
  <c r="G45" i="13"/>
  <c r="F45" i="13"/>
  <c r="E45" i="13"/>
  <c r="I44" i="13"/>
  <c r="G44" i="13"/>
  <c r="F44" i="13"/>
  <c r="E44" i="13"/>
  <c r="I43" i="13"/>
  <c r="G43" i="13"/>
  <c r="F43" i="13"/>
  <c r="E43" i="13"/>
  <c r="I41" i="13"/>
  <c r="G41" i="13"/>
  <c r="F41" i="13"/>
  <c r="E41" i="13"/>
  <c r="I37" i="13"/>
  <c r="G37" i="13"/>
  <c r="F37" i="13"/>
  <c r="E37" i="13"/>
  <c r="I36" i="13"/>
  <c r="G36" i="13"/>
  <c r="F36" i="13"/>
  <c r="E36" i="13"/>
  <c r="I35" i="13"/>
  <c r="G35" i="13"/>
  <c r="F35" i="13"/>
  <c r="E35" i="13"/>
  <c r="I34" i="13"/>
  <c r="G34" i="13"/>
  <c r="F34" i="13"/>
  <c r="E34" i="13"/>
  <c r="I32" i="13"/>
  <c r="G32" i="13"/>
  <c r="F32" i="13"/>
  <c r="E32" i="13"/>
  <c r="I28" i="13"/>
  <c r="G28" i="13"/>
  <c r="F28" i="13"/>
  <c r="E28" i="13"/>
  <c r="S27" i="13"/>
  <c r="R27" i="13"/>
  <c r="Q27" i="13"/>
  <c r="P27" i="13"/>
  <c r="O27" i="13"/>
  <c r="N27" i="13"/>
  <c r="M27" i="13"/>
  <c r="L27" i="13"/>
  <c r="K27" i="13"/>
  <c r="J27" i="13"/>
  <c r="I27" i="13"/>
  <c r="H27" i="13"/>
  <c r="G27" i="13"/>
  <c r="F27" i="13"/>
  <c r="E27" i="13"/>
  <c r="I23" i="13"/>
  <c r="H23" i="13"/>
  <c r="G23" i="13"/>
  <c r="F23" i="13"/>
  <c r="E23" i="13"/>
  <c r="I22" i="13"/>
  <c r="H22" i="13"/>
  <c r="G22" i="13"/>
  <c r="F22" i="13"/>
  <c r="E22" i="13"/>
  <c r="I21" i="13"/>
  <c r="H21" i="13"/>
  <c r="G21" i="13"/>
  <c r="F21" i="13"/>
  <c r="E21" i="13"/>
  <c r="I20" i="13"/>
  <c r="H20" i="13"/>
  <c r="G20" i="13"/>
  <c r="F20" i="13"/>
  <c r="E20" i="13"/>
  <c r="H16" i="13"/>
  <c r="G16" i="13"/>
  <c r="F16" i="13"/>
  <c r="E16" i="13"/>
  <c r="H15" i="13"/>
  <c r="G15" i="13"/>
  <c r="F15" i="13"/>
  <c r="E15" i="13"/>
  <c r="H14" i="13"/>
  <c r="G14" i="13"/>
  <c r="F14" i="13"/>
  <c r="E14" i="13"/>
  <c r="H13" i="13"/>
  <c r="G13" i="13"/>
  <c r="F13" i="13"/>
  <c r="E13" i="13"/>
  <c r="H9" i="13"/>
  <c r="G9" i="13"/>
  <c r="F9" i="13"/>
  <c r="E9" i="13"/>
  <c r="F1" i="13"/>
  <c r="A1" i="13"/>
  <c r="F1" i="12"/>
  <c r="A1" i="12"/>
  <c r="F1" i="11"/>
  <c r="A1" i="11"/>
  <c r="H78" i="10"/>
  <c r="G78" i="10"/>
  <c r="F78" i="10"/>
  <c r="E78" i="10"/>
  <c r="H77" i="10"/>
  <c r="G77" i="10"/>
  <c r="F77" i="10"/>
  <c r="E77" i="10"/>
  <c r="I72" i="10"/>
  <c r="G72" i="10"/>
  <c r="F72" i="10"/>
  <c r="E72" i="10"/>
  <c r="J71" i="10"/>
  <c r="I70" i="10"/>
  <c r="I73" i="10" s="1"/>
  <c r="H70" i="10"/>
  <c r="G70" i="10"/>
  <c r="F70" i="10"/>
  <c r="E70" i="10"/>
  <c r="I65" i="10"/>
  <c r="G65" i="10"/>
  <c r="F65" i="10"/>
  <c r="E65" i="10"/>
  <c r="I64" i="10"/>
  <c r="G64" i="10"/>
  <c r="F64" i="10"/>
  <c r="E64" i="10"/>
  <c r="I63" i="10"/>
  <c r="G63" i="10"/>
  <c r="F63" i="10"/>
  <c r="E63" i="10"/>
  <c r="I58" i="10"/>
  <c r="G58" i="10"/>
  <c r="F58" i="10"/>
  <c r="E58" i="10"/>
  <c r="I56" i="10"/>
  <c r="I59" i="10" s="1"/>
  <c r="H56" i="10"/>
  <c r="G56" i="10"/>
  <c r="F56" i="10"/>
  <c r="E56" i="10"/>
  <c r="S51" i="10"/>
  <c r="R51" i="10"/>
  <c r="Q51" i="10"/>
  <c r="P51" i="10"/>
  <c r="O51" i="10"/>
  <c r="N51" i="10"/>
  <c r="M51" i="10"/>
  <c r="L51" i="10"/>
  <c r="K51" i="10"/>
  <c r="J51" i="10"/>
  <c r="I51" i="10"/>
  <c r="H51" i="10"/>
  <c r="G51" i="10"/>
  <c r="F51" i="10"/>
  <c r="E51" i="10"/>
  <c r="H50" i="10"/>
  <c r="G50" i="10"/>
  <c r="F50" i="10"/>
  <c r="E50" i="10"/>
  <c r="I45" i="10"/>
  <c r="G45" i="10"/>
  <c r="F45" i="10"/>
  <c r="E45" i="10"/>
  <c r="I43" i="10"/>
  <c r="I46" i="10" s="1"/>
  <c r="H43" i="10"/>
  <c r="G43" i="10"/>
  <c r="F43" i="10"/>
  <c r="E43" i="10"/>
  <c r="I40" i="10"/>
  <c r="I39" i="10"/>
  <c r="G39" i="10"/>
  <c r="F39" i="10"/>
  <c r="E39" i="10"/>
  <c r="J38" i="10"/>
  <c r="I37" i="10"/>
  <c r="H37" i="10"/>
  <c r="G37" i="10"/>
  <c r="F37" i="10"/>
  <c r="E37" i="10"/>
  <c r="S32" i="10"/>
  <c r="R32" i="10"/>
  <c r="Q32" i="10"/>
  <c r="P32" i="10"/>
  <c r="O32" i="10"/>
  <c r="N32" i="10"/>
  <c r="M32" i="10"/>
  <c r="L32" i="10"/>
  <c r="K32" i="10"/>
  <c r="J32" i="10"/>
  <c r="I32" i="10"/>
  <c r="H32" i="10"/>
  <c r="G32" i="10"/>
  <c r="F32" i="10"/>
  <c r="E32" i="10"/>
  <c r="G31" i="10"/>
  <c r="E31" i="10"/>
  <c r="S26" i="10"/>
  <c r="R26" i="10"/>
  <c r="Q26" i="10"/>
  <c r="P26" i="10"/>
  <c r="O26" i="10"/>
  <c r="N26" i="10"/>
  <c r="M26" i="10"/>
  <c r="L26" i="10"/>
  <c r="K26" i="10"/>
  <c r="J26" i="10"/>
  <c r="I26" i="10"/>
  <c r="H26" i="10"/>
  <c r="G26" i="10"/>
  <c r="F26" i="10"/>
  <c r="E26" i="10"/>
  <c r="G25" i="10"/>
  <c r="E25" i="10"/>
  <c r="S21" i="10"/>
  <c r="R21" i="10"/>
  <c r="Q21" i="10"/>
  <c r="P21" i="10"/>
  <c r="O21" i="10"/>
  <c r="N21" i="10"/>
  <c r="M21" i="10"/>
  <c r="L21" i="10"/>
  <c r="K21" i="10"/>
  <c r="J21" i="10"/>
  <c r="I21" i="10"/>
  <c r="H21" i="10"/>
  <c r="G21" i="10"/>
  <c r="F21" i="10"/>
  <c r="E21" i="10"/>
  <c r="S20" i="10"/>
  <c r="R20" i="10"/>
  <c r="Q20" i="10"/>
  <c r="P20" i="10"/>
  <c r="O20" i="10"/>
  <c r="N20" i="10"/>
  <c r="M20" i="10"/>
  <c r="L20" i="10"/>
  <c r="K20" i="10"/>
  <c r="J20" i="10"/>
  <c r="I20" i="10"/>
  <c r="H20" i="10"/>
  <c r="G20" i="10"/>
  <c r="F20" i="10"/>
  <c r="E20" i="10"/>
  <c r="J19" i="10"/>
  <c r="I18" i="10"/>
  <c r="I22" i="10" s="1"/>
  <c r="I11" i="14" s="1"/>
  <c r="H18" i="10"/>
  <c r="G18" i="10"/>
  <c r="F18" i="10"/>
  <c r="E18" i="10"/>
  <c r="I14" i="10"/>
  <c r="G14" i="10"/>
  <c r="F14" i="10"/>
  <c r="E14" i="10"/>
  <c r="I13" i="10"/>
  <c r="G13" i="10"/>
  <c r="F13" i="10"/>
  <c r="E13" i="10"/>
  <c r="I11" i="10"/>
  <c r="H11" i="10"/>
  <c r="G11" i="10"/>
  <c r="F11" i="10"/>
  <c r="E11" i="10"/>
  <c r="G10" i="10"/>
  <c r="E10" i="10"/>
  <c r="F1" i="10"/>
  <c r="A1" i="10"/>
  <c r="F1" i="9"/>
  <c r="A1" i="9"/>
  <c r="I185" i="8"/>
  <c r="H185" i="8"/>
  <c r="G185" i="8"/>
  <c r="F185" i="8"/>
  <c r="E185" i="8"/>
  <c r="I184" i="8"/>
  <c r="G184" i="8"/>
  <c r="F184" i="8"/>
  <c r="E184" i="8"/>
  <c r="I179" i="8"/>
  <c r="H179" i="8"/>
  <c r="G179" i="8"/>
  <c r="F179" i="8"/>
  <c r="E179" i="8"/>
  <c r="I178" i="8"/>
  <c r="G178" i="8"/>
  <c r="F178" i="8"/>
  <c r="E178" i="8"/>
  <c r="I173" i="8"/>
  <c r="H173" i="8"/>
  <c r="G173" i="8"/>
  <c r="F173" i="8"/>
  <c r="E173" i="8"/>
  <c r="I172" i="8"/>
  <c r="G172" i="8"/>
  <c r="F172" i="8"/>
  <c r="E172" i="8"/>
  <c r="I167" i="8"/>
  <c r="H167" i="8"/>
  <c r="G167" i="8"/>
  <c r="F167" i="8"/>
  <c r="E167" i="8"/>
  <c r="I166" i="8"/>
  <c r="G166" i="8"/>
  <c r="F166" i="8"/>
  <c r="E166" i="8"/>
  <c r="I161" i="8"/>
  <c r="G161" i="8"/>
  <c r="F161" i="8"/>
  <c r="E161" i="8"/>
  <c r="S160" i="8"/>
  <c r="M160" i="8"/>
  <c r="I160" i="8"/>
  <c r="G160" i="8"/>
  <c r="F160" i="8"/>
  <c r="E160" i="8"/>
  <c r="I155" i="8"/>
  <c r="G155" i="8"/>
  <c r="F155" i="8"/>
  <c r="E155" i="8"/>
  <c r="S154" i="8"/>
  <c r="P154" i="8"/>
  <c r="J154" i="8"/>
  <c r="I154" i="8"/>
  <c r="G154" i="8"/>
  <c r="F154" i="8"/>
  <c r="E154" i="8"/>
  <c r="H149" i="8"/>
  <c r="G149" i="8"/>
  <c r="F149" i="8"/>
  <c r="E149" i="8"/>
  <c r="G148" i="8"/>
  <c r="E148" i="8"/>
  <c r="R144" i="8"/>
  <c r="P144" i="8"/>
  <c r="P41" i="13" s="1"/>
  <c r="O144" i="8"/>
  <c r="O160" i="8" s="1"/>
  <c r="N144" i="8"/>
  <c r="J144" i="8"/>
  <c r="J41" i="13" s="1"/>
  <c r="S143" i="8"/>
  <c r="S144" i="8" s="1"/>
  <c r="S41" i="13" s="1"/>
  <c r="R143" i="8"/>
  <c r="Q143" i="8"/>
  <c r="Q144" i="8" s="1"/>
  <c r="P143" i="8"/>
  <c r="O143" i="8"/>
  <c r="N143" i="8"/>
  <c r="M143" i="8"/>
  <c r="M144" i="8" s="1"/>
  <c r="L143" i="8"/>
  <c r="L144" i="8" s="1"/>
  <c r="K143" i="8"/>
  <c r="K144" i="8" s="1"/>
  <c r="K160" i="8" s="1"/>
  <c r="J143" i="8"/>
  <c r="I143" i="8"/>
  <c r="H143" i="8"/>
  <c r="G143" i="8"/>
  <c r="F143" i="8"/>
  <c r="E143" i="8"/>
  <c r="I137" i="8"/>
  <c r="G137" i="8"/>
  <c r="F137" i="8"/>
  <c r="E137" i="8"/>
  <c r="H136" i="8"/>
  <c r="G136" i="8"/>
  <c r="F136" i="8"/>
  <c r="E136" i="8"/>
  <c r="I131" i="8"/>
  <c r="G131" i="8"/>
  <c r="F131" i="8"/>
  <c r="E131" i="8"/>
  <c r="H130" i="8"/>
  <c r="G130" i="8"/>
  <c r="F130" i="8"/>
  <c r="E130" i="8"/>
  <c r="I125" i="8"/>
  <c r="G125" i="8"/>
  <c r="F125" i="8"/>
  <c r="E125" i="8"/>
  <c r="H124" i="8"/>
  <c r="G124" i="8"/>
  <c r="F124" i="8"/>
  <c r="E124" i="8"/>
  <c r="I119" i="8"/>
  <c r="G119" i="8"/>
  <c r="F119" i="8"/>
  <c r="E119" i="8"/>
  <c r="H118" i="8"/>
  <c r="G118" i="8"/>
  <c r="F118" i="8"/>
  <c r="E118" i="8"/>
  <c r="I113" i="8"/>
  <c r="H113" i="8"/>
  <c r="G113" i="8"/>
  <c r="F113" i="8"/>
  <c r="E113" i="8"/>
  <c r="S112" i="8"/>
  <c r="R112" i="8"/>
  <c r="Q112" i="8"/>
  <c r="P112" i="8"/>
  <c r="O112" i="8"/>
  <c r="N112" i="8"/>
  <c r="M112" i="8"/>
  <c r="L112" i="8"/>
  <c r="K112" i="8"/>
  <c r="J112" i="8"/>
  <c r="I112" i="8"/>
  <c r="H112" i="8"/>
  <c r="G112" i="8"/>
  <c r="F112" i="8"/>
  <c r="E112" i="8"/>
  <c r="I111" i="8"/>
  <c r="G111" i="8"/>
  <c r="F111" i="8"/>
  <c r="E111" i="8"/>
  <c r="I110" i="8"/>
  <c r="H110" i="8"/>
  <c r="G110" i="8"/>
  <c r="F110" i="8"/>
  <c r="E110" i="8"/>
  <c r="G109" i="8"/>
  <c r="E109" i="8"/>
  <c r="I103" i="8"/>
  <c r="H103" i="8"/>
  <c r="G103" i="8"/>
  <c r="F103" i="8"/>
  <c r="E103" i="8"/>
  <c r="H102" i="8"/>
  <c r="G102" i="8"/>
  <c r="F102" i="8"/>
  <c r="E102" i="8"/>
  <c r="I97" i="8"/>
  <c r="H97" i="8"/>
  <c r="G97" i="8"/>
  <c r="F97" i="8"/>
  <c r="E97" i="8"/>
  <c r="H96" i="8"/>
  <c r="G96" i="8"/>
  <c r="F96" i="8"/>
  <c r="E96" i="8"/>
  <c r="I91" i="8"/>
  <c r="H91" i="8"/>
  <c r="G91" i="8"/>
  <c r="F91" i="8"/>
  <c r="E91" i="8"/>
  <c r="H90" i="8"/>
  <c r="G90" i="8"/>
  <c r="F90" i="8"/>
  <c r="E90" i="8"/>
  <c r="I85" i="8"/>
  <c r="H85" i="8"/>
  <c r="G85" i="8"/>
  <c r="F85" i="8"/>
  <c r="E85" i="8"/>
  <c r="H84" i="8"/>
  <c r="G84" i="8"/>
  <c r="F84" i="8"/>
  <c r="E84" i="8"/>
  <c r="I79" i="8"/>
  <c r="G79" i="8"/>
  <c r="F79" i="8"/>
  <c r="E79" i="8"/>
  <c r="I77" i="8"/>
  <c r="H77" i="8"/>
  <c r="G77" i="8"/>
  <c r="F77" i="8"/>
  <c r="E77" i="8"/>
  <c r="G76" i="8"/>
  <c r="E76" i="8"/>
  <c r="I72" i="8"/>
  <c r="G72" i="8"/>
  <c r="F72" i="8"/>
  <c r="E72" i="8"/>
  <c r="I70" i="8"/>
  <c r="H70" i="8"/>
  <c r="G70" i="8"/>
  <c r="F70" i="8"/>
  <c r="E70" i="8"/>
  <c r="G69" i="8"/>
  <c r="E69" i="8"/>
  <c r="I65" i="8"/>
  <c r="G65" i="8"/>
  <c r="F65" i="8"/>
  <c r="E65" i="8"/>
  <c r="I63" i="8"/>
  <c r="H63" i="8"/>
  <c r="G63" i="8"/>
  <c r="F63" i="8"/>
  <c r="E63" i="8"/>
  <c r="G62" i="8"/>
  <c r="E62" i="8"/>
  <c r="I58" i="8"/>
  <c r="G58" i="8"/>
  <c r="F58" i="8"/>
  <c r="E58" i="8"/>
  <c r="I56" i="8"/>
  <c r="I59" i="8" s="1"/>
  <c r="H56" i="8"/>
  <c r="G56" i="8"/>
  <c r="F56" i="8"/>
  <c r="E56" i="8"/>
  <c r="G55" i="8"/>
  <c r="E55" i="8"/>
  <c r="I49" i="8"/>
  <c r="G49" i="8"/>
  <c r="F49" i="8"/>
  <c r="E49" i="8"/>
  <c r="S48" i="8"/>
  <c r="R48" i="8"/>
  <c r="Q48" i="8"/>
  <c r="P48" i="8"/>
  <c r="O48" i="8"/>
  <c r="N48" i="8"/>
  <c r="M48" i="8"/>
  <c r="L48" i="8"/>
  <c r="K48" i="8"/>
  <c r="J48" i="8"/>
  <c r="I48" i="8"/>
  <c r="H48" i="8"/>
  <c r="G48" i="8"/>
  <c r="F48" i="8"/>
  <c r="E48" i="8"/>
  <c r="I47" i="8"/>
  <c r="G47" i="8"/>
  <c r="F47" i="8"/>
  <c r="E47" i="8"/>
  <c r="I42" i="8"/>
  <c r="G42" i="8"/>
  <c r="F42" i="8"/>
  <c r="E42" i="8"/>
  <c r="S41" i="8"/>
  <c r="R41" i="8"/>
  <c r="Q41" i="8"/>
  <c r="P41" i="8"/>
  <c r="O41" i="8"/>
  <c r="N41" i="8"/>
  <c r="M41" i="8"/>
  <c r="L41" i="8"/>
  <c r="K41" i="8"/>
  <c r="J41" i="8"/>
  <c r="I41" i="8"/>
  <c r="H41" i="8"/>
  <c r="G41" i="8"/>
  <c r="F41" i="8"/>
  <c r="E41" i="8"/>
  <c r="I40" i="8"/>
  <c r="G40" i="8"/>
  <c r="F40" i="8"/>
  <c r="E40" i="8"/>
  <c r="I35" i="8"/>
  <c r="G35" i="8"/>
  <c r="F35" i="8"/>
  <c r="E35" i="8"/>
  <c r="S34" i="8"/>
  <c r="R34" i="8"/>
  <c r="Q34" i="8"/>
  <c r="P34" i="8"/>
  <c r="O34" i="8"/>
  <c r="N34" i="8"/>
  <c r="M34" i="8"/>
  <c r="L34" i="8"/>
  <c r="K34" i="8"/>
  <c r="J34" i="8"/>
  <c r="I34" i="8"/>
  <c r="H34" i="8"/>
  <c r="G34" i="8"/>
  <c r="F34" i="8"/>
  <c r="E34" i="8"/>
  <c r="I33" i="8"/>
  <c r="G33" i="8"/>
  <c r="F33" i="8"/>
  <c r="E33" i="8"/>
  <c r="I28" i="8"/>
  <c r="G28" i="8"/>
  <c r="F28" i="8"/>
  <c r="E28" i="8"/>
  <c r="S27" i="8"/>
  <c r="R27" i="8"/>
  <c r="Q27" i="8"/>
  <c r="P27" i="8"/>
  <c r="O27" i="8"/>
  <c r="N27" i="8"/>
  <c r="M27" i="8"/>
  <c r="L27" i="8"/>
  <c r="K27" i="8"/>
  <c r="J27" i="8"/>
  <c r="I27" i="8"/>
  <c r="H27" i="8"/>
  <c r="G27" i="8"/>
  <c r="F27" i="8"/>
  <c r="E27" i="8"/>
  <c r="I26" i="8"/>
  <c r="G26" i="8"/>
  <c r="F26" i="8"/>
  <c r="E26" i="8"/>
  <c r="S21" i="8"/>
  <c r="R21" i="8"/>
  <c r="Q21" i="8"/>
  <c r="P21" i="8"/>
  <c r="O21" i="8"/>
  <c r="N21" i="8"/>
  <c r="M21" i="8"/>
  <c r="L21" i="8"/>
  <c r="K21" i="8"/>
  <c r="J21" i="8"/>
  <c r="I21" i="8"/>
  <c r="H21" i="8"/>
  <c r="G21" i="8"/>
  <c r="F21" i="8"/>
  <c r="E21" i="8"/>
  <c r="S20" i="8"/>
  <c r="R20" i="8"/>
  <c r="Q20" i="8"/>
  <c r="P20" i="8"/>
  <c r="O20" i="8"/>
  <c r="N20" i="8"/>
  <c r="M20" i="8"/>
  <c r="L20" i="8"/>
  <c r="K20" i="8"/>
  <c r="J20" i="8"/>
  <c r="I20" i="8"/>
  <c r="H20" i="8"/>
  <c r="G20" i="8"/>
  <c r="F20" i="8"/>
  <c r="E20" i="8"/>
  <c r="S19" i="8"/>
  <c r="R19" i="8"/>
  <c r="Q19" i="8"/>
  <c r="P19" i="8"/>
  <c r="O19" i="8"/>
  <c r="N19" i="8"/>
  <c r="M19" i="8"/>
  <c r="L19" i="8"/>
  <c r="K19" i="8"/>
  <c r="J19" i="8"/>
  <c r="I19" i="8"/>
  <c r="H19" i="8"/>
  <c r="G19" i="8"/>
  <c r="F19" i="8"/>
  <c r="E19" i="8"/>
  <c r="S18" i="8"/>
  <c r="S22" i="8" s="1"/>
  <c r="R18" i="8"/>
  <c r="R22" i="8" s="1"/>
  <c r="Q18" i="8"/>
  <c r="Q22" i="8" s="1"/>
  <c r="P18" i="8"/>
  <c r="P22" i="8" s="1"/>
  <c r="O18" i="8"/>
  <c r="O22" i="8" s="1"/>
  <c r="N18" i="8"/>
  <c r="N22" i="8" s="1"/>
  <c r="M18" i="8"/>
  <c r="M22" i="8" s="1"/>
  <c r="L18" i="8"/>
  <c r="L22" i="8" s="1"/>
  <c r="K18" i="8"/>
  <c r="K22" i="8" s="1"/>
  <c r="J18" i="8"/>
  <c r="J22" i="8" s="1"/>
  <c r="I18" i="8"/>
  <c r="H18" i="8"/>
  <c r="G18" i="8"/>
  <c r="F18" i="8"/>
  <c r="E18" i="8"/>
  <c r="S13" i="8"/>
  <c r="R13" i="8"/>
  <c r="Q13" i="8"/>
  <c r="P13" i="8"/>
  <c r="O13" i="8"/>
  <c r="N13" i="8"/>
  <c r="M13" i="8"/>
  <c r="L13" i="8"/>
  <c r="K13" i="8"/>
  <c r="J13" i="8"/>
  <c r="I13" i="8"/>
  <c r="H13" i="8"/>
  <c r="G13" i="8"/>
  <c r="F13" i="8"/>
  <c r="E13" i="8"/>
  <c r="I11" i="8"/>
  <c r="H11" i="8"/>
  <c r="G11" i="8"/>
  <c r="F11" i="8"/>
  <c r="E11" i="8"/>
  <c r="G10" i="8"/>
  <c r="E10" i="8"/>
  <c r="F1" i="8"/>
  <c r="A1" i="8"/>
  <c r="F1" i="7"/>
  <c r="A1" i="7"/>
  <c r="I22" i="6"/>
  <c r="H22" i="6"/>
  <c r="G22" i="6"/>
  <c r="F22" i="6"/>
  <c r="E22" i="6"/>
  <c r="G21" i="6"/>
  <c r="E21" i="6"/>
  <c r="G20" i="6"/>
  <c r="E20" i="6"/>
  <c r="K16" i="6"/>
  <c r="K70" i="8" s="1"/>
  <c r="J16" i="6"/>
  <c r="I11" i="6"/>
  <c r="H11" i="6"/>
  <c r="G11" i="6"/>
  <c r="F11" i="6"/>
  <c r="E11" i="6"/>
  <c r="G10" i="6"/>
  <c r="F10" i="6"/>
  <c r="E10" i="6"/>
  <c r="K3" i="6"/>
  <c r="J3" i="6"/>
  <c r="F1" i="6"/>
  <c r="A1" i="6"/>
  <c r="F1" i="5"/>
  <c r="A1" i="5"/>
  <c r="F1" i="4"/>
  <c r="F31" i="3"/>
  <c r="F28" i="3"/>
  <c r="F148" i="8" s="1"/>
  <c r="F25" i="3"/>
  <c r="F24" i="3"/>
  <c r="I24" i="3" s="1"/>
  <c r="F23" i="3"/>
  <c r="I23" i="3" s="1"/>
  <c r="F22" i="3"/>
  <c r="I22" i="3" s="1"/>
  <c r="F21" i="3"/>
  <c r="F55" i="8" s="1"/>
  <c r="F20" i="3"/>
  <c r="F62" i="8" s="1"/>
  <c r="F15" i="3"/>
  <c r="I15" i="3" s="1"/>
  <c r="F14" i="3"/>
  <c r="F21" i="6" s="1"/>
  <c r="F13" i="3"/>
  <c r="I13" i="3" s="1"/>
  <c r="F12" i="3"/>
  <c r="I12" i="3" s="1"/>
  <c r="F6" i="3"/>
  <c r="I6" i="3" s="1"/>
  <c r="F3" i="3"/>
  <c r="F1" i="3"/>
  <c r="B44" i="2"/>
  <c r="B43" i="2"/>
  <c r="B42" i="2"/>
  <c r="B41" i="2"/>
  <c r="A40" i="2"/>
  <c r="B37" i="2"/>
  <c r="B36" i="2"/>
  <c r="B35" i="2"/>
  <c r="B34" i="2"/>
  <c r="B33" i="2"/>
  <c r="B32" i="2"/>
  <c r="A31" i="2"/>
  <c r="B29" i="2"/>
  <c r="A28" i="2"/>
  <c r="B26" i="2"/>
  <c r="C25" i="2"/>
  <c r="C24" i="2"/>
  <c r="C23" i="2"/>
  <c r="C22" i="2"/>
  <c r="B21" i="2"/>
  <c r="A20" i="2"/>
  <c r="A18" i="2"/>
  <c r="A14" i="2"/>
  <c r="A12" i="2"/>
  <c r="A10" i="2"/>
  <c r="A8" i="2"/>
  <c r="A6" i="2"/>
  <c r="A1" i="2"/>
  <c r="K28" i="13" l="1"/>
  <c r="K111" i="8"/>
  <c r="K47" i="8"/>
  <c r="K40" i="8"/>
  <c r="K33" i="8"/>
  <c r="K26" i="8"/>
  <c r="L28" i="13"/>
  <c r="L111" i="8"/>
  <c r="L47" i="8"/>
  <c r="L40" i="8"/>
  <c r="L33" i="8"/>
  <c r="L26" i="8"/>
  <c r="I14" i="13"/>
  <c r="I124" i="8"/>
  <c r="I90" i="8"/>
  <c r="J57" i="8"/>
  <c r="M28" i="13"/>
  <c r="M29" i="13" s="1"/>
  <c r="M111" i="8"/>
  <c r="M47" i="8"/>
  <c r="M40" i="8"/>
  <c r="M33" i="8"/>
  <c r="M26" i="8"/>
  <c r="N28" i="13"/>
  <c r="N29" i="13" s="1"/>
  <c r="N111" i="8"/>
  <c r="N47" i="8"/>
  <c r="N50" i="8" s="1"/>
  <c r="N79" i="8" s="1"/>
  <c r="N40" i="8"/>
  <c r="N43" i="8" s="1"/>
  <c r="N72" i="8" s="1"/>
  <c r="N33" i="8"/>
  <c r="N36" i="8" s="1"/>
  <c r="N58" i="8" s="1"/>
  <c r="N26" i="8"/>
  <c r="N29" i="8" s="1"/>
  <c r="N65" i="8" s="1"/>
  <c r="I66" i="8"/>
  <c r="S28" i="13"/>
  <c r="S29" i="13" s="1"/>
  <c r="S111" i="8"/>
  <c r="S47" i="8"/>
  <c r="S50" i="8" s="1"/>
  <c r="S79" i="8" s="1"/>
  <c r="S40" i="8"/>
  <c r="S43" i="8" s="1"/>
  <c r="S72" i="8" s="1"/>
  <c r="S33" i="8"/>
  <c r="S36" i="8" s="1"/>
  <c r="S58" i="8" s="1"/>
  <c r="S26" i="8"/>
  <c r="S29" i="8" s="1"/>
  <c r="S65" i="8" s="1"/>
  <c r="O28" i="13"/>
  <c r="O29" i="13" s="1"/>
  <c r="O111" i="8"/>
  <c r="O47" i="8"/>
  <c r="O50" i="8" s="1"/>
  <c r="O79" i="8" s="1"/>
  <c r="O40" i="8"/>
  <c r="O43" i="8" s="1"/>
  <c r="O72" i="8" s="1"/>
  <c r="O33" i="8"/>
  <c r="O36" i="8" s="1"/>
  <c r="O58" i="8" s="1"/>
  <c r="O26" i="8"/>
  <c r="O29" i="8" s="1"/>
  <c r="O65" i="8" s="1"/>
  <c r="Q28" i="13"/>
  <c r="Q29" i="13" s="1"/>
  <c r="Q47" i="8"/>
  <c r="Q50" i="8" s="1"/>
  <c r="Q79" i="8" s="1"/>
  <c r="Q40" i="8"/>
  <c r="Q43" i="8" s="1"/>
  <c r="Q72" i="8" s="1"/>
  <c r="Q33" i="8"/>
  <c r="Q36" i="8" s="1"/>
  <c r="Q58" i="8" s="1"/>
  <c r="Q26" i="8"/>
  <c r="Q29" i="8" s="1"/>
  <c r="Q65" i="8" s="1"/>
  <c r="Q111" i="8"/>
  <c r="P111" i="8"/>
  <c r="P28" i="13"/>
  <c r="P29" i="13" s="1"/>
  <c r="P47" i="8"/>
  <c r="P50" i="8" s="1"/>
  <c r="P79" i="8" s="1"/>
  <c r="P40" i="8"/>
  <c r="P43" i="8" s="1"/>
  <c r="P72" i="8" s="1"/>
  <c r="P33" i="8"/>
  <c r="P36" i="8" s="1"/>
  <c r="P58" i="8" s="1"/>
  <c r="P26" i="8"/>
  <c r="P29" i="8" s="1"/>
  <c r="P65" i="8" s="1"/>
  <c r="J28" i="13"/>
  <c r="J29" i="13" s="1"/>
  <c r="H29" i="13" s="1"/>
  <c r="J111" i="8"/>
  <c r="J47" i="8"/>
  <c r="J50" i="8" s="1"/>
  <c r="J40" i="8"/>
  <c r="J43" i="8" s="1"/>
  <c r="J33" i="8"/>
  <c r="J36" i="8" s="1"/>
  <c r="J26" i="8"/>
  <c r="J29" i="8" s="1"/>
  <c r="H22" i="8"/>
  <c r="R28" i="13"/>
  <c r="R111" i="8"/>
  <c r="R47" i="8"/>
  <c r="R50" i="8" s="1"/>
  <c r="R79" i="8" s="1"/>
  <c r="R40" i="8"/>
  <c r="R43" i="8" s="1"/>
  <c r="R72" i="8" s="1"/>
  <c r="R33" i="8"/>
  <c r="R36" i="8" s="1"/>
  <c r="R58" i="8" s="1"/>
  <c r="R26" i="8"/>
  <c r="R29" i="8" s="1"/>
  <c r="R65" i="8" s="1"/>
  <c r="F69" i="8"/>
  <c r="I73" i="8" s="1"/>
  <c r="F7" i="3"/>
  <c r="I25" i="3"/>
  <c r="F109" i="8"/>
  <c r="J3" i="13"/>
  <c r="J3" i="14"/>
  <c r="J56" i="10"/>
  <c r="J3" i="12"/>
  <c r="J3" i="11"/>
  <c r="J18" i="10"/>
  <c r="J22" i="10" s="1"/>
  <c r="J3" i="4"/>
  <c r="J43" i="10"/>
  <c r="J70" i="10"/>
  <c r="J11" i="10"/>
  <c r="J3" i="9"/>
  <c r="J110" i="8"/>
  <c r="J114" i="8" s="1"/>
  <c r="J37" i="10"/>
  <c r="J3" i="10"/>
  <c r="J63" i="8"/>
  <c r="K3" i="14"/>
  <c r="K56" i="10"/>
  <c r="K3" i="12"/>
  <c r="K3" i="11"/>
  <c r="K70" i="10"/>
  <c r="K3" i="4"/>
  <c r="K3" i="13"/>
  <c r="K43" i="10"/>
  <c r="K11" i="10"/>
  <c r="K3" i="9"/>
  <c r="K3" i="10"/>
  <c r="K18" i="10"/>
  <c r="K110" i="8"/>
  <c r="K37" i="10"/>
  <c r="K63" i="8"/>
  <c r="Q41" i="13"/>
  <c r="Q154" i="8"/>
  <c r="Q160" i="8"/>
  <c r="R41" i="13"/>
  <c r="R154" i="8"/>
  <c r="R160" i="8"/>
  <c r="I31" i="3"/>
  <c r="F31" i="10"/>
  <c r="F10" i="10"/>
  <c r="F25" i="10"/>
  <c r="L16" i="6"/>
  <c r="J56" i="8"/>
  <c r="K2" i="3"/>
  <c r="M2" i="3"/>
  <c r="L2" i="3"/>
  <c r="F20" i="6"/>
  <c r="J3" i="8"/>
  <c r="K56" i="8"/>
  <c r="K3" i="8"/>
  <c r="J77" i="8"/>
  <c r="L41" i="13"/>
  <c r="L160" i="8"/>
  <c r="L154" i="8"/>
  <c r="H144" i="8"/>
  <c r="J22" i="6"/>
  <c r="J23" i="6" s="1"/>
  <c r="J11" i="6" s="1"/>
  <c r="J12" i="6" s="1"/>
  <c r="J3" i="7"/>
  <c r="J11" i="8"/>
  <c r="F76" i="8"/>
  <c r="I80" i="8" s="1"/>
  <c r="K77" i="8"/>
  <c r="M41" i="13"/>
  <c r="M154" i="8"/>
  <c r="K22" i="6"/>
  <c r="K3" i="7"/>
  <c r="F10" i="8"/>
  <c r="I14" i="8" s="1"/>
  <c r="K11" i="8"/>
  <c r="J70" i="8"/>
  <c r="I15" i="14"/>
  <c r="J44" i="10"/>
  <c r="K154" i="8"/>
  <c r="P160" i="8"/>
  <c r="K41" i="13"/>
  <c r="N41" i="13"/>
  <c r="N160" i="8"/>
  <c r="N154" i="8"/>
  <c r="O41" i="13"/>
  <c r="O154" i="8"/>
  <c r="J160" i="8"/>
  <c r="I20" i="14"/>
  <c r="J57" i="10"/>
  <c r="I78" i="10"/>
  <c r="I15" i="10"/>
  <c r="I23" i="14"/>
  <c r="I77" i="10"/>
  <c r="K29" i="13"/>
  <c r="L29" i="13"/>
  <c r="I21" i="3"/>
  <c r="R29" i="13"/>
  <c r="I14" i="3"/>
  <c r="I28" i="3"/>
  <c r="I20" i="3"/>
  <c r="I9" i="13" l="1"/>
  <c r="I149" i="8"/>
  <c r="J12" i="8"/>
  <c r="J14" i="8" s="1"/>
  <c r="K22" i="10"/>
  <c r="J32" i="13"/>
  <c r="J137" i="8"/>
  <c r="J131" i="8"/>
  <c r="J125" i="8"/>
  <c r="J49" i="8"/>
  <c r="J42" i="8"/>
  <c r="J35" i="8"/>
  <c r="J28" i="8"/>
  <c r="J119" i="8"/>
  <c r="H28" i="13"/>
  <c r="H111" i="8"/>
  <c r="H47" i="8"/>
  <c r="H40" i="8"/>
  <c r="H33" i="8"/>
  <c r="H26" i="8"/>
  <c r="I13" i="13"/>
  <c r="I84" i="8"/>
  <c r="J64" i="8"/>
  <c r="I118" i="8"/>
  <c r="K19" i="10"/>
  <c r="J11" i="14"/>
  <c r="K23" i="6"/>
  <c r="K11" i="6" s="1"/>
  <c r="K12" i="6" s="1"/>
  <c r="I15" i="13"/>
  <c r="I130" i="8"/>
  <c r="I96" i="8"/>
  <c r="J71" i="8"/>
  <c r="J65" i="8"/>
  <c r="M27" i="10"/>
  <c r="R27" i="10"/>
  <c r="J27" i="10"/>
  <c r="Q27" i="10"/>
  <c r="P27" i="10"/>
  <c r="O27" i="10"/>
  <c r="S27" i="10"/>
  <c r="N27" i="10"/>
  <c r="L27" i="10"/>
  <c r="K27" i="10"/>
  <c r="J58" i="8"/>
  <c r="J59" i="8" s="1"/>
  <c r="I13" i="14"/>
  <c r="J12" i="10"/>
  <c r="I50" i="10"/>
  <c r="H41" i="13"/>
  <c r="H154" i="8"/>
  <c r="H160" i="8"/>
  <c r="J72" i="8"/>
  <c r="J2" i="4"/>
  <c r="J2" i="12"/>
  <c r="J2" i="13"/>
  <c r="J2" i="11"/>
  <c r="J2" i="14"/>
  <c r="J2" i="9"/>
  <c r="J2" i="10"/>
  <c r="J2" i="7"/>
  <c r="J2" i="8"/>
  <c r="J2" i="6"/>
  <c r="P33" i="10"/>
  <c r="M33" i="10"/>
  <c r="O33" i="10"/>
  <c r="N33" i="10"/>
  <c r="L33" i="10"/>
  <c r="S33" i="10"/>
  <c r="R33" i="10"/>
  <c r="Q33" i="10"/>
  <c r="K33" i="10"/>
  <c r="J33" i="10"/>
  <c r="J79" i="8"/>
  <c r="I16" i="13"/>
  <c r="J78" i="8"/>
  <c r="J80" i="8" s="1"/>
  <c r="I136" i="8"/>
  <c r="I102" i="8"/>
  <c r="L3" i="4"/>
  <c r="L3" i="13"/>
  <c r="L11" i="10"/>
  <c r="L3" i="14"/>
  <c r="L70" i="10"/>
  <c r="L3" i="10"/>
  <c r="L37" i="10"/>
  <c r="L3" i="11"/>
  <c r="L18" i="10"/>
  <c r="L3" i="12"/>
  <c r="L110" i="8"/>
  <c r="L3" i="9"/>
  <c r="L43" i="10"/>
  <c r="L56" i="10"/>
  <c r="L77" i="8"/>
  <c r="L3" i="8"/>
  <c r="L56" i="8"/>
  <c r="L3" i="6"/>
  <c r="M16" i="6"/>
  <c r="L63" i="8"/>
  <c r="L70" i="8"/>
  <c r="L11" i="8"/>
  <c r="L3" i="7"/>
  <c r="L22" i="6"/>
  <c r="J73" i="8"/>
  <c r="J66" i="8"/>
  <c r="J14" i="13" l="1"/>
  <c r="J124" i="8"/>
  <c r="J126" i="8" s="1"/>
  <c r="J90" i="8"/>
  <c r="K57" i="8"/>
  <c r="J16" i="13"/>
  <c r="J136" i="8"/>
  <c r="J138" i="8" s="1"/>
  <c r="J102" i="8"/>
  <c r="K78" i="8"/>
  <c r="J9" i="13"/>
  <c r="J10" i="13" s="1"/>
  <c r="J149" i="8"/>
  <c r="J150" i="8" s="1"/>
  <c r="K12" i="8"/>
  <c r="K14" i="8" s="1"/>
  <c r="S45" i="10"/>
  <c r="S14" i="10"/>
  <c r="J15" i="13"/>
  <c r="J130" i="8"/>
  <c r="J132" i="8" s="1"/>
  <c r="J96" i="8"/>
  <c r="K71" i="8"/>
  <c r="L14" i="10"/>
  <c r="L45" i="10"/>
  <c r="O63" i="10"/>
  <c r="O13" i="10"/>
  <c r="O39" i="10"/>
  <c r="N14" i="10"/>
  <c r="N45" i="10"/>
  <c r="P63" i="10"/>
  <c r="P39" i="10"/>
  <c r="P13" i="10"/>
  <c r="M3" i="11"/>
  <c r="M3" i="4"/>
  <c r="M18" i="10"/>
  <c r="M3" i="13"/>
  <c r="M3" i="14"/>
  <c r="M3" i="10"/>
  <c r="M56" i="10"/>
  <c r="M3" i="12"/>
  <c r="M11" i="10"/>
  <c r="M3" i="9"/>
  <c r="M37" i="10"/>
  <c r="M43" i="10"/>
  <c r="M70" i="10"/>
  <c r="M3" i="8"/>
  <c r="M110" i="8"/>
  <c r="M56" i="8"/>
  <c r="N16" i="6"/>
  <c r="M63" i="8"/>
  <c r="M70" i="8"/>
  <c r="M11" i="8"/>
  <c r="M3" i="7"/>
  <c r="M22" i="6"/>
  <c r="M23" i="6" s="1"/>
  <c r="M11" i="6" s="1"/>
  <c r="M12" i="6" s="1"/>
  <c r="M3" i="6"/>
  <c r="M77" i="8"/>
  <c r="K2" i="13"/>
  <c r="K2" i="14"/>
  <c r="K2" i="11"/>
  <c r="K2" i="4"/>
  <c r="K2" i="12"/>
  <c r="K2" i="9"/>
  <c r="K2" i="10"/>
  <c r="K2" i="7"/>
  <c r="K2" i="8"/>
  <c r="K2" i="6"/>
  <c r="K11" i="14"/>
  <c r="L19" i="10"/>
  <c r="L22" i="10" s="1"/>
  <c r="L23" i="6"/>
  <c r="L11" i="6" s="1"/>
  <c r="L12" i="6" s="1"/>
  <c r="O14" i="10"/>
  <c r="O45" i="10"/>
  <c r="Q13" i="10"/>
  <c r="Q39" i="10"/>
  <c r="Q63" i="10"/>
  <c r="J45" i="10"/>
  <c r="J46" i="10" s="1"/>
  <c r="J14" i="10"/>
  <c r="J15" i="10" s="1"/>
  <c r="H33" i="10"/>
  <c r="M45" i="10"/>
  <c r="M14" i="10"/>
  <c r="J63" i="10"/>
  <c r="J39" i="10"/>
  <c r="J40" i="10" s="1"/>
  <c r="J13" i="10"/>
  <c r="H27" i="10"/>
  <c r="S63" i="10"/>
  <c r="S13" i="10"/>
  <c r="S39" i="10"/>
  <c r="J13" i="13"/>
  <c r="J17" i="13" s="1"/>
  <c r="K64" i="8"/>
  <c r="J118" i="8"/>
  <c r="J120" i="8" s="1"/>
  <c r="J84" i="8"/>
  <c r="P45" i="10"/>
  <c r="P14" i="10"/>
  <c r="R39" i="10"/>
  <c r="R63" i="10"/>
  <c r="R13" i="10"/>
  <c r="Q45" i="10"/>
  <c r="Q14" i="10"/>
  <c r="L63" i="10"/>
  <c r="L39" i="10"/>
  <c r="L13" i="10"/>
  <c r="M39" i="10"/>
  <c r="M63" i="10"/>
  <c r="M13" i="10"/>
  <c r="K14" i="10"/>
  <c r="K45" i="10"/>
  <c r="K13" i="10"/>
  <c r="K63" i="10"/>
  <c r="K39" i="10"/>
  <c r="R45" i="10"/>
  <c r="R14" i="10"/>
  <c r="N13" i="10"/>
  <c r="N63" i="10"/>
  <c r="N39" i="10"/>
  <c r="L11" i="14" l="1"/>
  <c r="M19" i="10"/>
  <c r="J13" i="14"/>
  <c r="K12" i="10"/>
  <c r="K15" i="10" s="1"/>
  <c r="J50" i="10"/>
  <c r="J52" i="10" s="1"/>
  <c r="N3" i="11"/>
  <c r="N3" i="4"/>
  <c r="N3" i="12"/>
  <c r="N3" i="13"/>
  <c r="N43" i="10"/>
  <c r="N3" i="14"/>
  <c r="N37" i="10"/>
  <c r="N56" i="10"/>
  <c r="N18" i="10"/>
  <c r="N11" i="10"/>
  <c r="N3" i="9"/>
  <c r="N3" i="10"/>
  <c r="N70" i="10"/>
  <c r="N110" i="8"/>
  <c r="N56" i="8"/>
  <c r="N3" i="6"/>
  <c r="O16" i="6"/>
  <c r="N63" i="8"/>
  <c r="N70" i="8"/>
  <c r="N11" i="8"/>
  <c r="N3" i="7"/>
  <c r="N22" i="6"/>
  <c r="N23" i="6" s="1"/>
  <c r="N11" i="6" s="1"/>
  <c r="N12" i="6" s="1"/>
  <c r="N77" i="8"/>
  <c r="N3" i="8"/>
  <c r="J37" i="13"/>
  <c r="M2" i="14"/>
  <c r="M2" i="13"/>
  <c r="M2" i="4"/>
  <c r="M2" i="9"/>
  <c r="M2" i="11"/>
  <c r="M2" i="10"/>
  <c r="M2" i="12"/>
  <c r="M2" i="7"/>
  <c r="M2" i="8"/>
  <c r="M2" i="6"/>
  <c r="J86" i="8"/>
  <c r="H63" i="10"/>
  <c r="H39" i="10"/>
  <c r="H13" i="10"/>
  <c r="J15" i="14"/>
  <c r="K44" i="10"/>
  <c r="K46" i="10" s="1"/>
  <c r="L2" i="13"/>
  <c r="L2" i="14"/>
  <c r="L2" i="4"/>
  <c r="L2" i="9"/>
  <c r="L2" i="11"/>
  <c r="L2" i="10"/>
  <c r="L2" i="12"/>
  <c r="L2" i="7"/>
  <c r="L2" i="8"/>
  <c r="L2" i="6"/>
  <c r="K9" i="13"/>
  <c r="K10" i="13" s="1"/>
  <c r="K149" i="8"/>
  <c r="K150" i="8" s="1"/>
  <c r="K155" i="8" s="1"/>
  <c r="K156" i="8" s="1"/>
  <c r="L12" i="8"/>
  <c r="L14" i="8" s="1"/>
  <c r="J92" i="8"/>
  <c r="J113" i="8"/>
  <c r="K114" i="8" s="1"/>
  <c r="J85" i="8"/>
  <c r="J91" i="8"/>
  <c r="J97" i="8"/>
  <c r="J98" i="8" s="1"/>
  <c r="J103" i="8"/>
  <c r="J104" i="8" s="1"/>
  <c r="J34" i="13"/>
  <c r="J155" i="8"/>
  <c r="J156" i="8" s="1"/>
  <c r="J35" i="13"/>
  <c r="H45" i="10"/>
  <c r="H14" i="10"/>
  <c r="J14" i="14"/>
  <c r="K38" i="10"/>
  <c r="K40" i="10" s="1"/>
  <c r="M22" i="10"/>
  <c r="J36" i="13"/>
  <c r="J179" i="8" l="1"/>
  <c r="J22" i="13"/>
  <c r="J23" i="13"/>
  <c r="J185" i="8"/>
  <c r="O3" i="4"/>
  <c r="O3" i="12"/>
  <c r="O70" i="10"/>
  <c r="O11" i="10"/>
  <c r="O3" i="14"/>
  <c r="O56" i="10"/>
  <c r="O18" i="10"/>
  <c r="O3" i="11"/>
  <c r="O43" i="10"/>
  <c r="O110" i="8"/>
  <c r="O3" i="9"/>
  <c r="O37" i="10"/>
  <c r="O3" i="13"/>
  <c r="O3" i="10"/>
  <c r="P16" i="6"/>
  <c r="O63" i="8"/>
  <c r="O70" i="8"/>
  <c r="O11" i="8"/>
  <c r="O3" i="7"/>
  <c r="O22" i="6"/>
  <c r="O23" i="6" s="1"/>
  <c r="O11" i="6" s="1"/>
  <c r="O12" i="6" s="1"/>
  <c r="O77" i="8"/>
  <c r="O3" i="8"/>
  <c r="O56" i="8"/>
  <c r="O3" i="6"/>
  <c r="K43" i="13"/>
  <c r="K64" i="10"/>
  <c r="K161" i="8"/>
  <c r="K162" i="8" s="1"/>
  <c r="L9" i="13"/>
  <c r="L10" i="13" s="1"/>
  <c r="L149" i="8"/>
  <c r="L150" i="8" s="1"/>
  <c r="L155" i="8" s="1"/>
  <c r="L156" i="8" s="1"/>
  <c r="M12" i="8"/>
  <c r="M14" i="8" s="1"/>
  <c r="M11" i="14"/>
  <c r="N19" i="10"/>
  <c r="N22" i="10" s="1"/>
  <c r="J58" i="10"/>
  <c r="J59" i="10" s="1"/>
  <c r="J20" i="13"/>
  <c r="J167" i="8"/>
  <c r="K50" i="10"/>
  <c r="K52" i="10" s="1"/>
  <c r="K58" i="10" s="1"/>
  <c r="L12" i="10"/>
  <c r="L15" i="10" s="1"/>
  <c r="K13" i="14"/>
  <c r="J43" i="13"/>
  <c r="J64" i="10"/>
  <c r="J161" i="8"/>
  <c r="J162" i="8" s="1"/>
  <c r="N2" i="14"/>
  <c r="N2" i="12"/>
  <c r="N2" i="4"/>
  <c r="N2" i="11"/>
  <c r="N2" i="10"/>
  <c r="N2" i="9"/>
  <c r="N2" i="13"/>
  <c r="N2" i="8"/>
  <c r="N2" i="6"/>
  <c r="N2" i="7"/>
  <c r="J38" i="13"/>
  <c r="J16" i="14"/>
  <c r="J21" i="13"/>
  <c r="J173" i="8"/>
  <c r="K14" i="14"/>
  <c r="L38" i="10"/>
  <c r="L40" i="10" s="1"/>
  <c r="K32" i="13"/>
  <c r="K137" i="8"/>
  <c r="K131" i="8"/>
  <c r="K125" i="8"/>
  <c r="K49" i="8"/>
  <c r="K50" i="8" s="1"/>
  <c r="K42" i="8"/>
  <c r="K43" i="8" s="1"/>
  <c r="K35" i="8"/>
  <c r="K36" i="8" s="1"/>
  <c r="K28" i="8"/>
  <c r="K29" i="8" s="1"/>
  <c r="K119" i="8"/>
  <c r="K15" i="14"/>
  <c r="L44" i="10"/>
  <c r="L46" i="10" s="1"/>
  <c r="N11" i="14" l="1"/>
  <c r="O19" i="10"/>
  <c r="J184" i="8"/>
  <c r="J186" i="8" s="1"/>
  <c r="J166" i="8"/>
  <c r="J168" i="8" s="1"/>
  <c r="J178" i="8"/>
  <c r="J180" i="8" s="1"/>
  <c r="J172" i="8"/>
  <c r="J174" i="8" s="1"/>
  <c r="J24" i="13"/>
  <c r="M9" i="13"/>
  <c r="M10" i="13" s="1"/>
  <c r="M149" i="8"/>
  <c r="M150" i="8" s="1"/>
  <c r="M155" i="8" s="1"/>
  <c r="M156" i="8" s="1"/>
  <c r="N12" i="8"/>
  <c r="N14" i="8" s="1"/>
  <c r="K79" i="8"/>
  <c r="K80" i="8" s="1"/>
  <c r="L43" i="13"/>
  <c r="L64" i="10"/>
  <c r="L161" i="8"/>
  <c r="L162" i="8" s="1"/>
  <c r="P3" i="4"/>
  <c r="P3" i="12"/>
  <c r="P70" i="10"/>
  <c r="P3" i="13"/>
  <c r="P3" i="14"/>
  <c r="P18" i="10"/>
  <c r="P37" i="10"/>
  <c r="P3" i="11"/>
  <c r="P3" i="9"/>
  <c r="P3" i="10"/>
  <c r="P43" i="10"/>
  <c r="P56" i="10"/>
  <c r="P11" i="10"/>
  <c r="P63" i="8"/>
  <c r="P70" i="8"/>
  <c r="P11" i="8"/>
  <c r="P3" i="7"/>
  <c r="P22" i="6"/>
  <c r="P23" i="6" s="1"/>
  <c r="P11" i="6" s="1"/>
  <c r="P12" i="6" s="1"/>
  <c r="P77" i="8"/>
  <c r="P3" i="8"/>
  <c r="P56" i="8"/>
  <c r="P3" i="6"/>
  <c r="P110" i="8"/>
  <c r="Q16" i="6"/>
  <c r="O22" i="10"/>
  <c r="L15" i="14"/>
  <c r="M44" i="10"/>
  <c r="M46" i="10" s="1"/>
  <c r="J20" i="14"/>
  <c r="K57" i="10"/>
  <c r="K59" i="10" s="1"/>
  <c r="J78" i="10"/>
  <c r="K65" i="8"/>
  <c r="K66" i="8" s="1"/>
  <c r="K58" i="8"/>
  <c r="K59" i="8" s="1"/>
  <c r="O2" i="11"/>
  <c r="O2" i="4"/>
  <c r="O2" i="14"/>
  <c r="O2" i="12"/>
  <c r="O2" i="10"/>
  <c r="O2" i="9"/>
  <c r="O2" i="13"/>
  <c r="O2" i="8"/>
  <c r="O2" i="6"/>
  <c r="O2" i="7"/>
  <c r="L14" i="14"/>
  <c r="M38" i="10"/>
  <c r="M40" i="10" s="1"/>
  <c r="K16" i="14"/>
  <c r="K184" i="8"/>
  <c r="K178" i="8"/>
  <c r="K166" i="8"/>
  <c r="K172" i="8"/>
  <c r="K72" i="8"/>
  <c r="K73" i="8" s="1"/>
  <c r="L50" i="10"/>
  <c r="L52" i="10" s="1"/>
  <c r="L58" i="10" s="1"/>
  <c r="M12" i="10"/>
  <c r="M15" i="10" s="1"/>
  <c r="L13" i="14"/>
  <c r="L16" i="14" s="1"/>
  <c r="M15" i="14" l="1"/>
  <c r="N44" i="10"/>
  <c r="N46" i="10" s="1"/>
  <c r="J45" i="13"/>
  <c r="M14" i="14"/>
  <c r="N38" i="10"/>
  <c r="N40" i="10" s="1"/>
  <c r="K14" i="13"/>
  <c r="K124" i="8"/>
  <c r="K126" i="8" s="1"/>
  <c r="L57" i="8"/>
  <c r="K90" i="8"/>
  <c r="K13" i="13"/>
  <c r="K118" i="8"/>
  <c r="K120" i="8" s="1"/>
  <c r="L64" i="8"/>
  <c r="K84" i="8"/>
  <c r="J65" i="10"/>
  <c r="J66" i="10" s="1"/>
  <c r="J46" i="13"/>
  <c r="K16" i="13"/>
  <c r="K136" i="8"/>
  <c r="K138" i="8" s="1"/>
  <c r="K102" i="8"/>
  <c r="L78" i="8"/>
  <c r="J44" i="13"/>
  <c r="J48" i="13" s="1"/>
  <c r="M13" i="14"/>
  <c r="N12" i="10"/>
  <c r="N15" i="10" s="1"/>
  <c r="M50" i="10"/>
  <c r="M52" i="10" s="1"/>
  <c r="M58" i="10" s="1"/>
  <c r="O11" i="14"/>
  <c r="P19" i="10"/>
  <c r="P2" i="11"/>
  <c r="P2" i="4"/>
  <c r="P2" i="12"/>
  <c r="P2" i="13"/>
  <c r="P2" i="10"/>
  <c r="P2" i="14"/>
  <c r="P2" i="6"/>
  <c r="P2" i="9"/>
  <c r="P2" i="7"/>
  <c r="P2" i="8"/>
  <c r="K15" i="13"/>
  <c r="K130" i="8"/>
  <c r="K132" i="8" s="1"/>
  <c r="K96" i="8"/>
  <c r="L71" i="8"/>
  <c r="K20" i="14"/>
  <c r="K78" i="10"/>
  <c r="L57" i="10"/>
  <c r="L59" i="10" s="1"/>
  <c r="Q3" i="13"/>
  <c r="Q3" i="14"/>
  <c r="Q37" i="10"/>
  <c r="Q3" i="4"/>
  <c r="Q3" i="11"/>
  <c r="Q70" i="10"/>
  <c r="Q3" i="12"/>
  <c r="Q3" i="9"/>
  <c r="Q18" i="10"/>
  <c r="Q3" i="10"/>
  <c r="Q43" i="10"/>
  <c r="Q56" i="10"/>
  <c r="Q11" i="10"/>
  <c r="Q70" i="8"/>
  <c r="Q11" i="8"/>
  <c r="Q3" i="7"/>
  <c r="Q22" i="6"/>
  <c r="Q23" i="6" s="1"/>
  <c r="Q11" i="6" s="1"/>
  <c r="Q12" i="6" s="1"/>
  <c r="Q77" i="8"/>
  <c r="Q3" i="8"/>
  <c r="Q56" i="8"/>
  <c r="Q3" i="6"/>
  <c r="Q110" i="8"/>
  <c r="R16" i="6"/>
  <c r="Q63" i="8"/>
  <c r="N149" i="8"/>
  <c r="N150" i="8" s="1"/>
  <c r="N9" i="13"/>
  <c r="N10" i="13" s="1"/>
  <c r="O12" i="8"/>
  <c r="O14" i="8" s="1"/>
  <c r="J47" i="13"/>
  <c r="L178" i="8"/>
  <c r="L172" i="8"/>
  <c r="L166" i="8"/>
  <c r="L184" i="8"/>
  <c r="M43" i="13"/>
  <c r="M64" i="10"/>
  <c r="M161" i="8"/>
  <c r="M162" i="8" s="1"/>
  <c r="P22" i="10"/>
  <c r="K34" i="13" l="1"/>
  <c r="K17" i="13"/>
  <c r="P11" i="14"/>
  <c r="Q19" i="10"/>
  <c r="O9" i="13"/>
  <c r="O10" i="13" s="1"/>
  <c r="O149" i="8"/>
  <c r="O150" i="8" s="1"/>
  <c r="O155" i="8" s="1"/>
  <c r="O156" i="8" s="1"/>
  <c r="P12" i="8"/>
  <c r="P14" i="8" s="1"/>
  <c r="J72" i="10"/>
  <c r="J73" i="10" s="1"/>
  <c r="R3" i="13"/>
  <c r="R3" i="14"/>
  <c r="R56" i="10"/>
  <c r="R3" i="4"/>
  <c r="R3" i="11"/>
  <c r="R70" i="10"/>
  <c r="R18" i="10"/>
  <c r="R3" i="12"/>
  <c r="R43" i="10"/>
  <c r="R37" i="10"/>
  <c r="R3" i="9"/>
  <c r="R3" i="10"/>
  <c r="R11" i="10"/>
  <c r="R110" i="8"/>
  <c r="R70" i="8"/>
  <c r="R11" i="8"/>
  <c r="R3" i="7"/>
  <c r="R22" i="6"/>
  <c r="R23" i="6" s="1"/>
  <c r="R11" i="6" s="1"/>
  <c r="R12" i="6" s="1"/>
  <c r="R77" i="8"/>
  <c r="R3" i="8"/>
  <c r="R56" i="8"/>
  <c r="R3" i="6"/>
  <c r="S16" i="6"/>
  <c r="R63" i="8"/>
  <c r="K36" i="13"/>
  <c r="K35" i="13"/>
  <c r="O44" i="10"/>
  <c r="O46" i="10" s="1"/>
  <c r="N15" i="14"/>
  <c r="N155" i="8"/>
  <c r="N156" i="8" s="1"/>
  <c r="M172" i="8"/>
  <c r="M166" i="8"/>
  <c r="M184" i="8"/>
  <c r="M178" i="8"/>
  <c r="Q2" i="4"/>
  <c r="Q2" i="12"/>
  <c r="Q2" i="13"/>
  <c r="Q2" i="11"/>
  <c r="Q2" i="14"/>
  <c r="Q2" i="10"/>
  <c r="Q2" i="9"/>
  <c r="Q2" i="7"/>
  <c r="Q2" i="8"/>
  <c r="Q2" i="6"/>
  <c r="Q22" i="10"/>
  <c r="N13" i="14"/>
  <c r="N16" i="14" s="1"/>
  <c r="N50" i="10"/>
  <c r="N52" i="10" s="1"/>
  <c r="O12" i="10"/>
  <c r="O15" i="10" s="1"/>
  <c r="L78" i="10"/>
  <c r="M57" i="10"/>
  <c r="M59" i="10" s="1"/>
  <c r="L20" i="14"/>
  <c r="M16" i="14"/>
  <c r="K37" i="13"/>
  <c r="N14" i="14"/>
  <c r="O38" i="10"/>
  <c r="O40" i="10" s="1"/>
  <c r="O13" i="14" l="1"/>
  <c r="O50" i="10"/>
  <c r="O52" i="10" s="1"/>
  <c r="O58" i="10" s="1"/>
  <c r="P12" i="10"/>
  <c r="P15" i="10" s="1"/>
  <c r="O15" i="14"/>
  <c r="P44" i="10"/>
  <c r="P46" i="10" s="1"/>
  <c r="O43" i="13"/>
  <c r="O161" i="8"/>
  <c r="O162" i="8" s="1"/>
  <c r="O64" i="10"/>
  <c r="M78" i="10"/>
  <c r="N57" i="10"/>
  <c r="N59" i="10" s="1"/>
  <c r="M20" i="14"/>
  <c r="N58" i="10"/>
  <c r="S3" i="14"/>
  <c r="S56" i="10"/>
  <c r="S3" i="12"/>
  <c r="S43" i="10"/>
  <c r="S3" i="4"/>
  <c r="S37" i="10"/>
  <c r="S3" i="9"/>
  <c r="S11" i="10"/>
  <c r="S3" i="10"/>
  <c r="S70" i="10"/>
  <c r="S3" i="13"/>
  <c r="S110" i="8"/>
  <c r="S3" i="11"/>
  <c r="S18" i="10"/>
  <c r="S11" i="8"/>
  <c r="S3" i="7"/>
  <c r="S22" i="6"/>
  <c r="S23" i="6" s="1"/>
  <c r="S11" i="6" s="1"/>
  <c r="S12" i="6" s="1"/>
  <c r="S77" i="8"/>
  <c r="S3" i="8"/>
  <c r="S56" i="8"/>
  <c r="S3" i="6"/>
  <c r="S63" i="8"/>
  <c r="S70" i="8"/>
  <c r="R22" i="10"/>
  <c r="O14" i="14"/>
  <c r="P38" i="10"/>
  <c r="P40" i="10" s="1"/>
  <c r="N43" i="13"/>
  <c r="N161" i="8"/>
  <c r="N162" i="8" s="1"/>
  <c r="N64" i="10"/>
  <c r="K38" i="13"/>
  <c r="Q11" i="14"/>
  <c r="R19" i="10"/>
  <c r="J23" i="14"/>
  <c r="K71" i="10"/>
  <c r="J77" i="10"/>
  <c r="J79" i="10" s="1"/>
  <c r="J25" i="14" s="1"/>
  <c r="R2" i="4"/>
  <c r="R2" i="12"/>
  <c r="R2" i="13"/>
  <c r="R2" i="11"/>
  <c r="R2" i="14"/>
  <c r="R2" i="10"/>
  <c r="R2" i="9"/>
  <c r="R2" i="7"/>
  <c r="R2" i="8"/>
  <c r="R2" i="6"/>
  <c r="K113" i="8"/>
  <c r="L114" i="8" s="1"/>
  <c r="K85" i="8"/>
  <c r="K86" i="8" s="1"/>
  <c r="K91" i="8"/>
  <c r="K92" i="8" s="1"/>
  <c r="K97" i="8"/>
  <c r="K98" i="8" s="1"/>
  <c r="K103" i="8"/>
  <c r="K104" i="8" s="1"/>
  <c r="P149" i="8"/>
  <c r="P150" i="8" s="1"/>
  <c r="P9" i="13"/>
  <c r="P10" i="13" s="1"/>
  <c r="Q12" i="8"/>
  <c r="Q14" i="8" s="1"/>
  <c r="P155" i="8" l="1"/>
  <c r="P156" i="8" s="1"/>
  <c r="P14" i="14"/>
  <c r="Q38" i="10"/>
  <c r="Q40" i="10" s="1"/>
  <c r="P15" i="14"/>
  <c r="Q44" i="10"/>
  <c r="Q46" i="10" s="1"/>
  <c r="K23" i="13"/>
  <c r="K185" i="8"/>
  <c r="K186" i="8" s="1"/>
  <c r="N78" i="10"/>
  <c r="O57" i="10"/>
  <c r="O59" i="10" s="1"/>
  <c r="N20" i="14"/>
  <c r="K20" i="13"/>
  <c r="K167" i="8"/>
  <c r="K168" i="8" s="1"/>
  <c r="N166" i="8"/>
  <c r="N184" i="8"/>
  <c r="N178" i="8"/>
  <c r="N172" i="8"/>
  <c r="K22" i="13"/>
  <c r="K179" i="8"/>
  <c r="K180" i="8" s="1"/>
  <c r="K21" i="13"/>
  <c r="K173" i="8"/>
  <c r="K174" i="8" s="1"/>
  <c r="P50" i="10"/>
  <c r="P52" i="10" s="1"/>
  <c r="Q12" i="10"/>
  <c r="Q15" i="10" s="1"/>
  <c r="P13" i="14"/>
  <c r="P16" i="14" s="1"/>
  <c r="Q9" i="13"/>
  <c r="Q10" i="13" s="1"/>
  <c r="Q149" i="8"/>
  <c r="Q150" i="8" s="1"/>
  <c r="Q155" i="8" s="1"/>
  <c r="Q156" i="8" s="1"/>
  <c r="R12" i="8"/>
  <c r="R14" i="8" s="1"/>
  <c r="S19" i="10"/>
  <c r="S22" i="10" s="1"/>
  <c r="S11" i="14" s="1"/>
  <c r="R11" i="14"/>
  <c r="S2" i="13"/>
  <c r="S2" i="14"/>
  <c r="S2" i="4"/>
  <c r="S2" i="9"/>
  <c r="S2" i="12"/>
  <c r="S2" i="11"/>
  <c r="S2" i="10"/>
  <c r="S2" i="7"/>
  <c r="S2" i="8"/>
  <c r="S2" i="6"/>
  <c r="O166" i="8"/>
  <c r="O184" i="8"/>
  <c r="O178" i="8"/>
  <c r="O172" i="8"/>
  <c r="L32" i="13"/>
  <c r="L131" i="8"/>
  <c r="L125" i="8"/>
  <c r="L119" i="8"/>
  <c r="L137" i="8"/>
  <c r="L49" i="8"/>
  <c r="L50" i="8" s="1"/>
  <c r="L42" i="8"/>
  <c r="L43" i="8" s="1"/>
  <c r="L35" i="8"/>
  <c r="L36" i="8" s="1"/>
  <c r="L28" i="8"/>
  <c r="L29" i="8" s="1"/>
  <c r="O16" i="14"/>
  <c r="K45" i="13" l="1"/>
  <c r="L72" i="8"/>
  <c r="L73" i="8" s="1"/>
  <c r="Q50" i="10"/>
  <c r="Q52" i="10" s="1"/>
  <c r="Q58" i="10" s="1"/>
  <c r="R12" i="10"/>
  <c r="R15" i="10" s="1"/>
  <c r="Q13" i="14"/>
  <c r="K44" i="13"/>
  <c r="K47" i="13"/>
  <c r="P43" i="13"/>
  <c r="P64" i="10"/>
  <c r="P161" i="8"/>
  <c r="P162" i="8" s="1"/>
  <c r="P58" i="10"/>
  <c r="K46" i="13"/>
  <c r="K65" i="10"/>
  <c r="K66" i="10" s="1"/>
  <c r="K24" i="13"/>
  <c r="L79" i="8"/>
  <c r="L80" i="8" s="1"/>
  <c r="L65" i="8"/>
  <c r="L66" i="8" s="1"/>
  <c r="P57" i="10"/>
  <c r="P59" i="10" s="1"/>
  <c r="O20" i="14"/>
  <c r="O78" i="10"/>
  <c r="Q15" i="14"/>
  <c r="R44" i="10"/>
  <c r="R46" i="10" s="1"/>
  <c r="L58" i="8"/>
  <c r="L59" i="8" s="1"/>
  <c r="R9" i="13"/>
  <c r="R10" i="13" s="1"/>
  <c r="R149" i="8"/>
  <c r="R150" i="8" s="1"/>
  <c r="R155" i="8" s="1"/>
  <c r="R156" i="8" s="1"/>
  <c r="S12" i="8"/>
  <c r="S14" i="8" s="1"/>
  <c r="Q14" i="14"/>
  <c r="R38" i="10"/>
  <c r="R40" i="10" s="1"/>
  <c r="Q64" i="10"/>
  <c r="Q43" i="13"/>
  <c r="Q161" i="8"/>
  <c r="Q162" i="8" s="1"/>
  <c r="L16" i="13" l="1"/>
  <c r="L136" i="8"/>
  <c r="L138" i="8" s="1"/>
  <c r="L102" i="8"/>
  <c r="M78" i="8"/>
  <c r="R13" i="14"/>
  <c r="R50" i="10"/>
  <c r="R52" i="10" s="1"/>
  <c r="R58" i="10" s="1"/>
  <c r="S12" i="10"/>
  <c r="S15" i="10" s="1"/>
  <c r="L15" i="13"/>
  <c r="L130" i="8"/>
  <c r="L132" i="8" s="1"/>
  <c r="M71" i="8"/>
  <c r="L96" i="8"/>
  <c r="P184" i="8"/>
  <c r="P178" i="8"/>
  <c r="P172" i="8"/>
  <c r="P166" i="8"/>
  <c r="K72" i="10"/>
  <c r="K73" i="10" s="1"/>
  <c r="R43" i="13"/>
  <c r="R64" i="10"/>
  <c r="R161" i="8"/>
  <c r="R162" i="8" s="1"/>
  <c r="Q184" i="8"/>
  <c r="Q178" i="8"/>
  <c r="Q172" i="8"/>
  <c r="Q166" i="8"/>
  <c r="S38" i="10"/>
  <c r="S40" i="10" s="1"/>
  <c r="S14" i="14" s="1"/>
  <c r="R14" i="14"/>
  <c r="L13" i="13"/>
  <c r="L17" i="13" s="1"/>
  <c r="L118" i="8"/>
  <c r="L120" i="8" s="1"/>
  <c r="M64" i="8"/>
  <c r="L84" i="8"/>
  <c r="K48" i="13"/>
  <c r="S9" i="13"/>
  <c r="S10" i="13" s="1"/>
  <c r="S149" i="8"/>
  <c r="S150" i="8" s="1"/>
  <c r="Q57" i="10"/>
  <c r="Q59" i="10" s="1"/>
  <c r="P20" i="14"/>
  <c r="P78" i="10"/>
  <c r="L14" i="13"/>
  <c r="L124" i="8"/>
  <c r="L126" i="8" s="1"/>
  <c r="L90" i="8"/>
  <c r="M57" i="8"/>
  <c r="R15" i="14"/>
  <c r="S44" i="10"/>
  <c r="S46" i="10" s="1"/>
  <c r="S15" i="14" s="1"/>
  <c r="Q16" i="14"/>
  <c r="S50" i="10" l="1"/>
  <c r="S52" i="10" s="1"/>
  <c r="S13" i="14"/>
  <c r="S16" i="14" s="1"/>
  <c r="L34" i="13"/>
  <c r="L38" i="13" s="1"/>
  <c r="Q20" i="14"/>
  <c r="Q78" i="10"/>
  <c r="R57" i="10"/>
  <c r="R59" i="10" s="1"/>
  <c r="R16" i="14"/>
  <c r="L98" i="8"/>
  <c r="L35" i="13"/>
  <c r="K23" i="14"/>
  <c r="L71" i="10"/>
  <c r="K77" i="10"/>
  <c r="K79" i="10" s="1"/>
  <c r="K25" i="14" s="1"/>
  <c r="L36" i="13"/>
  <c r="L37" i="13"/>
  <c r="L113" i="8"/>
  <c r="M114" i="8" s="1"/>
  <c r="L85" i="8"/>
  <c r="L86" i="8" s="1"/>
  <c r="L91" i="8"/>
  <c r="L92" i="8" s="1"/>
  <c r="L97" i="8"/>
  <c r="L103" i="8"/>
  <c r="L104" i="8" s="1"/>
  <c r="R184" i="8"/>
  <c r="R178" i="8"/>
  <c r="R172" i="8"/>
  <c r="R166" i="8"/>
  <c r="S155" i="8"/>
  <c r="S156" i="8" s="1"/>
  <c r="H150" i="8"/>
  <c r="H155" i="8" s="1"/>
  <c r="L20" i="13" l="1"/>
  <c r="L167" i="8"/>
  <c r="L168" i="8" s="1"/>
  <c r="L23" i="13"/>
  <c r="L185" i="8"/>
  <c r="L186" i="8" s="1"/>
  <c r="L21" i="13"/>
  <c r="L173" i="8"/>
  <c r="L174" i="8" s="1"/>
  <c r="L22" i="13"/>
  <c r="L179" i="8"/>
  <c r="L180" i="8" s="1"/>
  <c r="M32" i="13"/>
  <c r="M131" i="8"/>
  <c r="M125" i="8"/>
  <c r="M119" i="8"/>
  <c r="M137" i="8"/>
  <c r="M49" i="8"/>
  <c r="M50" i="8" s="1"/>
  <c r="M42" i="8"/>
  <c r="M43" i="8" s="1"/>
  <c r="M35" i="8"/>
  <c r="M36" i="8" s="1"/>
  <c r="M28" i="8"/>
  <c r="M29" i="8" s="1"/>
  <c r="N114" i="8"/>
  <c r="R20" i="14"/>
  <c r="R78" i="10"/>
  <c r="S57" i="10"/>
  <c r="S58" i="10"/>
  <c r="H52" i="10"/>
  <c r="H58" i="10" s="1"/>
  <c r="S64" i="10"/>
  <c r="S43" i="13"/>
  <c r="S161" i="8"/>
  <c r="S162" i="8" s="1"/>
  <c r="H156" i="8"/>
  <c r="H43" i="13" l="1"/>
  <c r="H64" i="10"/>
  <c r="H161" i="8"/>
  <c r="M65" i="8"/>
  <c r="M66" i="8" s="1"/>
  <c r="H29" i="8"/>
  <c r="H65" i="8" s="1"/>
  <c r="L47" i="13"/>
  <c r="S184" i="8"/>
  <c r="S178" i="8"/>
  <c r="S172" i="8"/>
  <c r="S166" i="8"/>
  <c r="H162" i="8"/>
  <c r="L45" i="13"/>
  <c r="M79" i="8"/>
  <c r="M80" i="8" s="1"/>
  <c r="H50" i="8"/>
  <c r="H79" i="8" s="1"/>
  <c r="L44" i="13"/>
  <c r="L46" i="13"/>
  <c r="L65" i="10"/>
  <c r="L66" i="10" s="1"/>
  <c r="N32" i="13"/>
  <c r="N131" i="8"/>
  <c r="N119" i="8"/>
  <c r="N137" i="8"/>
  <c r="N49" i="8"/>
  <c r="N42" i="8"/>
  <c r="N35" i="8"/>
  <c r="N28" i="8"/>
  <c r="N125" i="8"/>
  <c r="O114" i="8"/>
  <c r="M58" i="8"/>
  <c r="M59" i="8" s="1"/>
  <c r="H36" i="8"/>
  <c r="H58" i="8" s="1"/>
  <c r="M72" i="8"/>
  <c r="M73" i="8" s="1"/>
  <c r="H43" i="8"/>
  <c r="H72" i="8" s="1"/>
  <c r="S59" i="10"/>
  <c r="L24" i="13"/>
  <c r="M13" i="13" l="1"/>
  <c r="M118" i="8"/>
  <c r="M120" i="8" s="1"/>
  <c r="M84" i="8"/>
  <c r="N64" i="8"/>
  <c r="N66" i="8" s="1"/>
  <c r="S20" i="14"/>
  <c r="S78" i="10"/>
  <c r="H184" i="8"/>
  <c r="H178" i="8"/>
  <c r="H172" i="8"/>
  <c r="H166" i="8"/>
  <c r="M130" i="8"/>
  <c r="M132" i="8" s="1"/>
  <c r="M15" i="13"/>
  <c r="M96" i="8"/>
  <c r="N71" i="8"/>
  <c r="N73" i="8" s="1"/>
  <c r="L72" i="10"/>
  <c r="L73" i="10" s="1"/>
  <c r="L48" i="13"/>
  <c r="M14" i="13"/>
  <c r="M90" i="8"/>
  <c r="N57" i="8"/>
  <c r="N59" i="8" s="1"/>
  <c r="M124" i="8"/>
  <c r="M126" i="8" s="1"/>
  <c r="O32" i="13"/>
  <c r="O131" i="8"/>
  <c r="O125" i="8"/>
  <c r="O137" i="8"/>
  <c r="O119" i="8"/>
  <c r="O49" i="8"/>
  <c r="O42" i="8"/>
  <c r="O35" i="8"/>
  <c r="O28" i="8"/>
  <c r="P114" i="8"/>
  <c r="M16" i="13"/>
  <c r="M136" i="8"/>
  <c r="M138" i="8" s="1"/>
  <c r="M102" i="8"/>
  <c r="N78" i="8"/>
  <c r="N80" i="8" s="1"/>
  <c r="L77" i="10" l="1"/>
  <c r="L79" i="10" s="1"/>
  <c r="L25" i="14" s="1"/>
  <c r="M71" i="10"/>
  <c r="L23" i="14"/>
  <c r="N15" i="13"/>
  <c r="N130" i="8"/>
  <c r="N132" i="8" s="1"/>
  <c r="N36" i="13" s="1"/>
  <c r="N96" i="8"/>
  <c r="O71" i="8"/>
  <c r="O73" i="8" s="1"/>
  <c r="M35" i="13"/>
  <c r="N14" i="13"/>
  <c r="N124" i="8"/>
  <c r="N126" i="8" s="1"/>
  <c r="N35" i="13" s="1"/>
  <c r="N90" i="8"/>
  <c r="O57" i="8"/>
  <c r="O59" i="8" s="1"/>
  <c r="M37" i="13"/>
  <c r="N84" i="8"/>
  <c r="N13" i="13"/>
  <c r="N118" i="8"/>
  <c r="N120" i="8" s="1"/>
  <c r="N34" i="13" s="1"/>
  <c r="O64" i="8"/>
  <c r="O66" i="8" s="1"/>
  <c r="P32" i="13"/>
  <c r="P137" i="8"/>
  <c r="P131" i="8"/>
  <c r="P125" i="8"/>
  <c r="P119" i="8"/>
  <c r="P49" i="8"/>
  <c r="P42" i="8"/>
  <c r="P35" i="8"/>
  <c r="P28" i="8"/>
  <c r="Q114" i="8"/>
  <c r="N16" i="13"/>
  <c r="N136" i="8"/>
  <c r="N138" i="8" s="1"/>
  <c r="N37" i="13" s="1"/>
  <c r="N102" i="8"/>
  <c r="O78" i="8"/>
  <c r="O80" i="8" s="1"/>
  <c r="M34" i="13"/>
  <c r="M36" i="13"/>
  <c r="M17" i="13"/>
  <c r="O14" i="13" l="1"/>
  <c r="O124" i="8"/>
  <c r="O126" i="8" s="1"/>
  <c r="O35" i="13" s="1"/>
  <c r="O90" i="8"/>
  <c r="P57" i="8"/>
  <c r="P59" i="8" s="1"/>
  <c r="O15" i="13"/>
  <c r="O96" i="8"/>
  <c r="P71" i="8"/>
  <c r="P73" i="8" s="1"/>
  <c r="O130" i="8"/>
  <c r="O132" i="8" s="1"/>
  <c r="O36" i="13" s="1"/>
  <c r="Q32" i="13"/>
  <c r="Q131" i="8"/>
  <c r="Q119" i="8"/>
  <c r="Q137" i="8"/>
  <c r="Q49" i="8"/>
  <c r="Q42" i="8"/>
  <c r="Q35" i="8"/>
  <c r="Q28" i="8"/>
  <c r="Q125" i="8"/>
  <c r="R114" i="8"/>
  <c r="M38" i="13"/>
  <c r="O118" i="8"/>
  <c r="O120" i="8" s="1"/>
  <c r="O84" i="8"/>
  <c r="O13" i="13"/>
  <c r="O17" i="13" s="1"/>
  <c r="P64" i="8"/>
  <c r="P66" i="8" s="1"/>
  <c r="O16" i="13"/>
  <c r="O136" i="8"/>
  <c r="O138" i="8" s="1"/>
  <c r="O102" i="8"/>
  <c r="P78" i="8"/>
  <c r="P80" i="8" s="1"/>
  <c r="N17" i="13"/>
  <c r="M113" i="8"/>
  <c r="M85" i="8"/>
  <c r="M86" i="8" s="1"/>
  <c r="M91" i="8"/>
  <c r="M92" i="8" s="1"/>
  <c r="M97" i="8"/>
  <c r="M98" i="8" s="1"/>
  <c r="M103" i="8"/>
  <c r="M104" i="8" s="1"/>
  <c r="N38" i="13"/>
  <c r="N113" i="8" l="1"/>
  <c r="N103" i="8"/>
  <c r="N104" i="8" s="1"/>
  <c r="N97" i="8"/>
  <c r="N98" i="8" s="1"/>
  <c r="N91" i="8"/>
  <c r="N92" i="8" s="1"/>
  <c r="N85" i="8"/>
  <c r="N86" i="8" s="1"/>
  <c r="P13" i="13"/>
  <c r="P118" i="8"/>
  <c r="P120" i="8" s="1"/>
  <c r="P34" i="13" s="1"/>
  <c r="P38" i="13" s="1"/>
  <c r="P84" i="8"/>
  <c r="Q64" i="8"/>
  <c r="Q66" i="8" s="1"/>
  <c r="O86" i="8"/>
  <c r="P16" i="13"/>
  <c r="P136" i="8"/>
  <c r="P138" i="8" s="1"/>
  <c r="P37" i="13" s="1"/>
  <c r="Q78" i="8"/>
  <c r="Q80" i="8" s="1"/>
  <c r="P102" i="8"/>
  <c r="O34" i="13"/>
  <c r="O38" i="13" s="1"/>
  <c r="M21" i="13"/>
  <c r="M173" i="8"/>
  <c r="M174" i="8" s="1"/>
  <c r="P15" i="13"/>
  <c r="P130" i="8"/>
  <c r="P132" i="8" s="1"/>
  <c r="P36" i="13" s="1"/>
  <c r="P96" i="8"/>
  <c r="Q71" i="8"/>
  <c r="Q73" i="8" s="1"/>
  <c r="O104" i="8"/>
  <c r="P14" i="13"/>
  <c r="Q57" i="8"/>
  <c r="Q59" i="8" s="1"/>
  <c r="P90" i="8"/>
  <c r="P124" i="8"/>
  <c r="P126" i="8" s="1"/>
  <c r="P35" i="13" s="1"/>
  <c r="O113" i="8"/>
  <c r="O103" i="8"/>
  <c r="O97" i="8"/>
  <c r="O98" i="8" s="1"/>
  <c r="O91" i="8"/>
  <c r="O92" i="8" s="1"/>
  <c r="O85" i="8"/>
  <c r="O37" i="13"/>
  <c r="M20" i="13"/>
  <c r="M167" i="8"/>
  <c r="M168" i="8" s="1"/>
  <c r="M23" i="13"/>
  <c r="M185" i="8"/>
  <c r="M186" i="8" s="1"/>
  <c r="R32" i="13"/>
  <c r="R137" i="8"/>
  <c r="R131" i="8"/>
  <c r="R119" i="8"/>
  <c r="R49" i="8"/>
  <c r="R42" i="8"/>
  <c r="R35" i="8"/>
  <c r="R28" i="8"/>
  <c r="R125" i="8"/>
  <c r="S114" i="8"/>
  <c r="M22" i="13"/>
  <c r="M179" i="8"/>
  <c r="M180" i="8" s="1"/>
  <c r="O21" i="13" l="1"/>
  <c r="O173" i="8"/>
  <c r="O174" i="8" s="1"/>
  <c r="O45" i="13" s="1"/>
  <c r="O22" i="13"/>
  <c r="O179" i="8"/>
  <c r="O180" i="8" s="1"/>
  <c r="P17" i="13"/>
  <c r="O23" i="13"/>
  <c r="O185" i="8"/>
  <c r="O186" i="8" s="1"/>
  <c r="O47" i="13" s="1"/>
  <c r="Q16" i="13"/>
  <c r="Q136" i="8"/>
  <c r="Q138" i="8" s="1"/>
  <c r="Q37" i="13" s="1"/>
  <c r="R78" i="8"/>
  <c r="R80" i="8" s="1"/>
  <c r="Q102" i="8"/>
  <c r="N20" i="13"/>
  <c r="N167" i="8"/>
  <c r="N168" i="8" s="1"/>
  <c r="N44" i="13" s="1"/>
  <c r="M47" i="13"/>
  <c r="M44" i="13"/>
  <c r="N21" i="13"/>
  <c r="N173" i="8"/>
  <c r="N174" i="8" s="1"/>
  <c r="N45" i="13" s="1"/>
  <c r="N22" i="13"/>
  <c r="N179" i="8"/>
  <c r="N180" i="8" s="1"/>
  <c r="M24" i="13"/>
  <c r="M45" i="13"/>
  <c r="O20" i="13"/>
  <c r="O24" i="13" s="1"/>
  <c r="O167" i="8"/>
  <c r="O168" i="8" s="1"/>
  <c r="O44" i="13" s="1"/>
  <c r="N23" i="13"/>
  <c r="N185" i="8"/>
  <c r="N186" i="8" s="1"/>
  <c r="N47" i="13" s="1"/>
  <c r="Q14" i="13"/>
  <c r="R57" i="8"/>
  <c r="R59" i="8" s="1"/>
  <c r="Q90" i="8"/>
  <c r="Q124" i="8"/>
  <c r="Q126" i="8" s="1"/>
  <c r="Q35" i="13" s="1"/>
  <c r="Q13" i="13"/>
  <c r="Q118" i="8"/>
  <c r="Q120" i="8" s="1"/>
  <c r="Q34" i="13" s="1"/>
  <c r="Q38" i="13" s="1"/>
  <c r="Q84" i="8"/>
  <c r="R64" i="8"/>
  <c r="R66" i="8" s="1"/>
  <c r="Q15" i="13"/>
  <c r="Q130" i="8"/>
  <c r="Q132" i="8" s="1"/>
  <c r="Q36" i="13" s="1"/>
  <c r="Q96" i="8"/>
  <c r="R71" i="8"/>
  <c r="R73" i="8" s="1"/>
  <c r="M46" i="13"/>
  <c r="M65" i="10"/>
  <c r="M66" i="10" s="1"/>
  <c r="S32" i="13"/>
  <c r="S137" i="8"/>
  <c r="S125" i="8"/>
  <c r="S131" i="8"/>
  <c r="S119" i="8"/>
  <c r="S49" i="8"/>
  <c r="S42" i="8"/>
  <c r="S35" i="8"/>
  <c r="S28" i="8"/>
  <c r="H114" i="8"/>
  <c r="N24" i="13" l="1"/>
  <c r="H32" i="13"/>
  <c r="H137" i="8"/>
  <c r="H131" i="8"/>
  <c r="H125" i="8"/>
  <c r="H119" i="8"/>
  <c r="H49" i="8"/>
  <c r="H42" i="8"/>
  <c r="H35" i="8"/>
  <c r="H28" i="8"/>
  <c r="N46" i="13"/>
  <c r="N48" i="13" s="1"/>
  <c r="N65" i="10"/>
  <c r="N66" i="10" s="1"/>
  <c r="N72" i="10" s="1"/>
  <c r="P103" i="8"/>
  <c r="P104" i="8" s="1"/>
  <c r="P97" i="8"/>
  <c r="P98" i="8" s="1"/>
  <c r="P91" i="8"/>
  <c r="P92" i="8" s="1"/>
  <c r="P85" i="8"/>
  <c r="P86" i="8" s="1"/>
  <c r="P113" i="8"/>
  <c r="M72" i="10"/>
  <c r="M73" i="10" s="1"/>
  <c r="R16" i="13"/>
  <c r="R136" i="8"/>
  <c r="R138" i="8" s="1"/>
  <c r="R37" i="13" s="1"/>
  <c r="R102" i="8"/>
  <c r="S78" i="8"/>
  <c r="S80" i="8" s="1"/>
  <c r="O46" i="13"/>
  <c r="O65" i="10"/>
  <c r="O66" i="10" s="1"/>
  <c r="O72" i="10" s="1"/>
  <c r="O48" i="13"/>
  <c r="R13" i="13"/>
  <c r="R17" i="13" s="1"/>
  <c r="R118" i="8"/>
  <c r="R120" i="8" s="1"/>
  <c r="R34" i="13" s="1"/>
  <c r="R38" i="13" s="1"/>
  <c r="R84" i="8"/>
  <c r="S64" i="8"/>
  <c r="S66" i="8" s="1"/>
  <c r="Q17" i="13"/>
  <c r="R15" i="13"/>
  <c r="R130" i="8"/>
  <c r="R132" i="8" s="1"/>
  <c r="R36" i="13" s="1"/>
  <c r="R96" i="8"/>
  <c r="S71" i="8"/>
  <c r="S73" i="8" s="1"/>
  <c r="M48" i="13"/>
  <c r="R14" i="13"/>
  <c r="R124" i="8"/>
  <c r="R126" i="8" s="1"/>
  <c r="R35" i="13" s="1"/>
  <c r="S57" i="8"/>
  <c r="S59" i="8" s="1"/>
  <c r="R90" i="8"/>
  <c r="S14" i="13" l="1"/>
  <c r="S124" i="8"/>
  <c r="S126" i="8" s="1"/>
  <c r="S90" i="8"/>
  <c r="M77" i="10"/>
  <c r="M79" i="10" s="1"/>
  <c r="M25" i="14" s="1"/>
  <c r="N71" i="10"/>
  <c r="N73" i="10" s="1"/>
  <c r="M23" i="14"/>
  <c r="R86" i="8"/>
  <c r="S15" i="13"/>
  <c r="S130" i="8"/>
  <c r="S132" i="8" s="1"/>
  <c r="S96" i="8"/>
  <c r="P20" i="13"/>
  <c r="P167" i="8"/>
  <c r="P168" i="8" s="1"/>
  <c r="P44" i="13" s="1"/>
  <c r="Q113" i="8"/>
  <c r="Q91" i="8"/>
  <c r="Q92" i="8" s="1"/>
  <c r="Q97" i="8"/>
  <c r="Q98" i="8" s="1"/>
  <c r="Q103" i="8"/>
  <c r="Q104" i="8" s="1"/>
  <c r="Q85" i="8"/>
  <c r="Q86" i="8" s="1"/>
  <c r="P21" i="13"/>
  <c r="P173" i="8"/>
  <c r="P174" i="8" s="1"/>
  <c r="P45" i="13" s="1"/>
  <c r="P23" i="13"/>
  <c r="P185" i="8"/>
  <c r="P186" i="8" s="1"/>
  <c r="P47" i="13" s="1"/>
  <c r="R92" i="8"/>
  <c r="R113" i="8"/>
  <c r="R97" i="8"/>
  <c r="R98" i="8" s="1"/>
  <c r="R103" i="8"/>
  <c r="R85" i="8"/>
  <c r="R91" i="8"/>
  <c r="S16" i="13"/>
  <c r="S136" i="8"/>
  <c r="S138" i="8" s="1"/>
  <c r="S102" i="8"/>
  <c r="S13" i="13"/>
  <c r="S118" i="8"/>
  <c r="S120" i="8" s="1"/>
  <c r="S84" i="8"/>
  <c r="R104" i="8"/>
  <c r="P22" i="13"/>
  <c r="P179" i="8"/>
  <c r="P180" i="8" s="1"/>
  <c r="R22" i="13" l="1"/>
  <c r="R179" i="8"/>
  <c r="R180" i="8" s="1"/>
  <c r="R20" i="13"/>
  <c r="R167" i="8"/>
  <c r="R168" i="8" s="1"/>
  <c r="R44" i="13" s="1"/>
  <c r="R21" i="13"/>
  <c r="R173" i="8"/>
  <c r="R174" i="8" s="1"/>
  <c r="R45" i="13" s="1"/>
  <c r="Q21" i="13"/>
  <c r="Q173" i="8"/>
  <c r="Q174" i="8" s="1"/>
  <c r="Q45" i="13" s="1"/>
  <c r="P46" i="13"/>
  <c r="P48" i="13" s="1"/>
  <c r="P65" i="10"/>
  <c r="P66" i="10" s="1"/>
  <c r="P72" i="10" s="1"/>
  <c r="P24" i="13"/>
  <c r="R23" i="13"/>
  <c r="R185" i="8"/>
  <c r="R186" i="8" s="1"/>
  <c r="R47" i="13" s="1"/>
  <c r="Q20" i="13"/>
  <c r="Q167" i="8"/>
  <c r="Q168" i="8" s="1"/>
  <c r="Q44" i="13" s="1"/>
  <c r="S37" i="13"/>
  <c r="H138" i="8"/>
  <c r="H37" i="13" s="1"/>
  <c r="N23" i="14"/>
  <c r="N77" i="10"/>
  <c r="N79" i="10" s="1"/>
  <c r="N25" i="14" s="1"/>
  <c r="O71" i="10"/>
  <c r="O73" i="10" s="1"/>
  <c r="S34" i="13"/>
  <c r="H120" i="8"/>
  <c r="H34" i="13" s="1"/>
  <c r="Q23" i="13"/>
  <c r="Q185" i="8"/>
  <c r="Q186" i="8" s="1"/>
  <c r="Q47" i="13" s="1"/>
  <c r="S36" i="13"/>
  <c r="H132" i="8"/>
  <c r="H36" i="13" s="1"/>
  <c r="S35" i="13"/>
  <c r="H126" i="8"/>
  <c r="H35" i="13" s="1"/>
  <c r="S17" i="13"/>
  <c r="Q22" i="13"/>
  <c r="Q179" i="8"/>
  <c r="Q180" i="8" s="1"/>
  <c r="Q65" i="10" l="1"/>
  <c r="Q66" i="10" s="1"/>
  <c r="Q72" i="10" s="1"/>
  <c r="Q46" i="13"/>
  <c r="S103" i="8"/>
  <c r="S104" i="8" s="1"/>
  <c r="S85" i="8"/>
  <c r="S86" i="8" s="1"/>
  <c r="S113" i="8"/>
  <c r="S91" i="8"/>
  <c r="S92" i="8" s="1"/>
  <c r="S97" i="8"/>
  <c r="S98" i="8" s="1"/>
  <c r="R24" i="13"/>
  <c r="Q48" i="13"/>
  <c r="R65" i="10"/>
  <c r="R66" i="10" s="1"/>
  <c r="R72" i="10" s="1"/>
  <c r="R46" i="13"/>
  <c r="R48" i="13" s="1"/>
  <c r="S38" i="13"/>
  <c r="H38" i="13" s="1"/>
  <c r="O77" i="10"/>
  <c r="O79" i="10" s="1"/>
  <c r="O25" i="14" s="1"/>
  <c r="P71" i="10"/>
  <c r="P73" i="10" s="1"/>
  <c r="O23" i="14"/>
  <c r="Q24" i="13"/>
  <c r="S22" i="13" l="1"/>
  <c r="S179" i="8"/>
  <c r="S180" i="8" s="1"/>
  <c r="S21" i="13"/>
  <c r="S173" i="8"/>
  <c r="S174" i="8" s="1"/>
  <c r="S20" i="13"/>
  <c r="S167" i="8"/>
  <c r="S168" i="8" s="1"/>
  <c r="S23" i="13"/>
  <c r="S185" i="8"/>
  <c r="S186" i="8" s="1"/>
  <c r="P77" i="10"/>
  <c r="P79" i="10" s="1"/>
  <c r="P25" i="14" s="1"/>
  <c r="P23" i="14"/>
  <c r="Q71" i="10"/>
  <c r="Q73" i="10" s="1"/>
  <c r="S45" i="13" l="1"/>
  <c r="H174" i="8"/>
  <c r="H45" i="13" s="1"/>
  <c r="S47" i="13"/>
  <c r="H186" i="8"/>
  <c r="H47" i="13" s="1"/>
  <c r="Q23" i="14"/>
  <c r="R71" i="10"/>
  <c r="R73" i="10" s="1"/>
  <c r="Q77" i="10"/>
  <c r="Q79" i="10" s="1"/>
  <c r="Q25" i="14" s="1"/>
  <c r="S44" i="13"/>
  <c r="S48" i="13" s="1"/>
  <c r="H48" i="13" s="1"/>
  <c r="H168" i="8"/>
  <c r="H44" i="13" s="1"/>
  <c r="S46" i="13"/>
  <c r="S65" i="10"/>
  <c r="S66" i="10" s="1"/>
  <c r="H180" i="8"/>
  <c r="S24" i="13"/>
  <c r="R23" i="14" l="1"/>
  <c r="R77" i="10"/>
  <c r="R79" i="10" s="1"/>
  <c r="R25" i="14" s="1"/>
  <c r="S71" i="10"/>
  <c r="S73" i="10" s="1"/>
  <c r="H65" i="10"/>
  <c r="H46" i="13"/>
  <c r="S72" i="10"/>
  <c r="H66" i="10"/>
  <c r="H72" i="10" s="1"/>
  <c r="S23" i="14" l="1"/>
  <c r="S77" i="10"/>
  <c r="S79" i="10" s="1"/>
  <c r="S25" i="14" s="1"/>
</calcChain>
</file>

<file path=xl/sharedStrings.xml><?xml version="1.0" encoding="utf-8"?>
<sst xmlns="http://schemas.openxmlformats.org/spreadsheetml/2006/main" count="445" uniqueCount="182">
  <si>
    <t>Percentage Calculation</t>
  </si>
  <si>
    <t>Raised by</t>
  </si>
  <si>
    <t>Report SubTotal</t>
  </si>
  <si>
    <t>Opening Loan Note</t>
  </si>
  <si>
    <t>Debt</t>
  </si>
  <si>
    <t>Percentage Exit</t>
  </si>
  <si>
    <t>Studio Cofounder Shares</t>
  </si>
  <si>
    <t>Percentage Shareholding</t>
  </si>
  <si>
    <t>Investor Cofounder Value</t>
  </si>
  <si>
    <t>Proceeds to Other Investor</t>
  </si>
  <si>
    <t>DPI</t>
  </si>
  <si>
    <t>Other Investor Shares BEG</t>
  </si>
  <si>
    <t>Date Result</t>
  </si>
  <si>
    <t>[Modelling contact email address]</t>
  </si>
  <si>
    <t>Report Total</t>
  </si>
  <si>
    <t>COMPANY</t>
  </si>
  <si>
    <t>Equity</t>
  </si>
  <si>
    <t>New Capital From Sector Cofounder</t>
  </si>
  <si>
    <t>New Capital From Other Investor</t>
  </si>
  <si>
    <t>Model period start</t>
  </si>
  <si>
    <t>Studio Cofounder %</t>
  </si>
  <si>
    <t>Exit Proceeds</t>
  </si>
  <si>
    <t>Investor Cofounder Return</t>
  </si>
  <si>
    <t>[PROJECT NAME] FINANCIAL MODEL</t>
  </si>
  <si>
    <t>Scenario 2</t>
  </si>
  <si>
    <t>Case</t>
  </si>
  <si>
    <t>ID</t>
  </si>
  <si>
    <t>Date raised</t>
  </si>
  <si>
    <t>Sector Cofounder %</t>
  </si>
  <si>
    <t>Loan</t>
  </si>
  <si>
    <t>Remaing Companies BEG</t>
  </si>
  <si>
    <t>Exited Companies BEG</t>
  </si>
  <si>
    <t>range end</t>
  </si>
  <si>
    <t>Input differences</t>
  </si>
  <si>
    <t>Base case 3</t>
  </si>
  <si>
    <t>Months</t>
  </si>
  <si>
    <t>Loan Note</t>
  </si>
  <si>
    <t>New Other Investor Shares</t>
  </si>
  <si>
    <t>Failed Companies BEG</t>
  </si>
  <si>
    <t>Section</t>
  </si>
  <si>
    <t>Output - Base case 1</t>
  </si>
  <si>
    <t>Source</t>
  </si>
  <si>
    <t>REPORTS</t>
  </si>
  <si>
    <t xml:space="preserve">Resolved by </t>
  </si>
  <si>
    <t>Comments</t>
  </si>
  <si>
    <t>Alerts</t>
  </si>
  <si>
    <t>OPENING BALANCES</t>
  </si>
  <si>
    <t>Redemption Premium</t>
  </si>
  <si>
    <t>Investor Cofounder %</t>
  </si>
  <si>
    <t>Percentage Graduate</t>
  </si>
  <si>
    <t>Cohort Loan Balance</t>
  </si>
  <si>
    <t>Returns</t>
  </si>
  <si>
    <t>Studio Cofounder Shares BEG</t>
  </si>
  <si>
    <t>KEY</t>
  </si>
  <si>
    <t>Percentage Input</t>
  </si>
  <si>
    <t>For enquiries please contact:</t>
  </si>
  <si>
    <t>Diff Pct</t>
  </si>
  <si>
    <t>Active scenario</t>
  </si>
  <si>
    <t>Sub-section</t>
  </si>
  <si>
    <t>Shares</t>
  </si>
  <si>
    <t>Opening Sector Cofounder Shares</t>
  </si>
  <si>
    <t>Opening Investor Cofounder Shares</t>
  </si>
  <si>
    <t>Companies</t>
  </si>
  <si>
    <t>New Shares</t>
  </si>
  <si>
    <t>Other Investor Shares</t>
  </si>
  <si>
    <t>Equity Value</t>
  </si>
  <si>
    <t>Loan and Redemption Premium Repayment</t>
  </si>
  <si>
    <t>Proceeds From Exit</t>
  </si>
  <si>
    <t>Total Investor Cofounder Return BEG</t>
  </si>
  <si>
    <t>Percentage Result</t>
  </si>
  <si>
    <t>Comparison scenario</t>
  </si>
  <si>
    <t>Scenario 3</t>
  </si>
  <si>
    <t>Error chks</t>
  </si>
  <si>
    <t>Time</t>
  </si>
  <si>
    <t>Resolved?</t>
  </si>
  <si>
    <t>Financial year end month</t>
  </si>
  <si>
    <t>DEBT</t>
  </si>
  <si>
    <t>Company</t>
  </si>
  <si>
    <t>Percentage Fail</t>
  </si>
  <si>
    <t>New Investor Cofounder Shares</t>
  </si>
  <si>
    <t>Sector Cofounder Value</t>
  </si>
  <si>
    <t>Proceeds After Loan Repayment</t>
  </si>
  <si>
    <t>Financing</t>
  </si>
  <si>
    <t>Total Companies</t>
  </si>
  <si>
    <t>Loans</t>
  </si>
  <si>
    <t>Inputs</t>
  </si>
  <si>
    <t>Date Calculation</t>
  </si>
  <si>
    <t>&lt;INSERT LOGO HERE&gt;</t>
  </si>
  <si>
    <t>vw</t>
  </si>
  <si>
    <t>Base case</t>
  </si>
  <si>
    <t>Where</t>
  </si>
  <si>
    <t>Report Indent</t>
  </si>
  <si>
    <t>Exit Value</t>
  </si>
  <si>
    <t>Headers</t>
  </si>
  <si>
    <t>Failures</t>
  </si>
  <si>
    <t>Total Debt</t>
  </si>
  <si>
    <t>Loan Note BEG</t>
  </si>
  <si>
    <t>Sector Cofounder Shares BEG</t>
  </si>
  <si>
    <t>[do not delete row]</t>
  </si>
  <si>
    <t>Months per period (Primary)</t>
  </si>
  <si>
    <t>Opening Other Investor Shares</t>
  </si>
  <si>
    <t>New Company Loan Note</t>
  </si>
  <si>
    <t>Pre-Money Valuation</t>
  </si>
  <si>
    <t>New Sector Cofounder Shares</t>
  </si>
  <si>
    <t>Proceeds to Studio Cofounder</t>
  </si>
  <si>
    <t>Currency Calculation</t>
  </si>
  <si>
    <t>Total</t>
  </si>
  <si>
    <t>Timeline label</t>
  </si>
  <si>
    <t>Difference</t>
  </si>
  <si>
    <t>date</t>
  </si>
  <si>
    <t>Periods per Year</t>
  </si>
  <si>
    <t>%</t>
  </si>
  <si>
    <t>plus</t>
  </si>
  <si>
    <t>Sector Cofounder Shares</t>
  </si>
  <si>
    <t>Metrics</t>
  </si>
  <si>
    <t>Progression</t>
  </si>
  <si>
    <t>Percentage Graduate BEG</t>
  </si>
  <si>
    <t>Ratio</t>
  </si>
  <si>
    <t>Unit</t>
  </si>
  <si>
    <t>Comparison column label</t>
  </si>
  <si>
    <t>Base case 1</t>
  </si>
  <si>
    <t>Scenario 4</t>
  </si>
  <si>
    <t>Description</t>
  </si>
  <si>
    <t>New Capital From Studio Cofounder</t>
  </si>
  <si>
    <t>New Capital From Investor Cofounder</t>
  </si>
  <si>
    <t>Price per Share</t>
  </si>
  <si>
    <t>Remaing Companies</t>
  </si>
  <si>
    <t>Total Equity Value</t>
  </si>
  <si>
    <t>Breakdown in proceeds from Exit</t>
  </si>
  <si>
    <t>Constant</t>
  </si>
  <si>
    <t>KEY OUTPUTS</t>
  </si>
  <si>
    <t>Sheet</t>
  </si>
  <si>
    <t>GBP</t>
  </si>
  <si>
    <t>Nominal Price per Share</t>
  </si>
  <si>
    <t>Companies in Cohort</t>
  </si>
  <si>
    <t>Cohort</t>
  </si>
  <si>
    <t>Loan Repayment</t>
  </si>
  <si>
    <t>Total Investor Cofounder Return</t>
  </si>
  <si>
    <t>Post-Money Valuation</t>
  </si>
  <si>
    <t>END</t>
  </si>
  <si>
    <t>Standard Input</t>
  </si>
  <si>
    <t>Currency Input</t>
  </si>
  <si>
    <t>Filename</t>
  </si>
  <si>
    <t>Opening Studio Cofounder Shares</t>
  </si>
  <si>
    <t>Exit</t>
  </si>
  <si>
    <t>Total New Capital Raised From Equity</t>
  </si>
  <si>
    <t>Other Investor Value</t>
  </si>
  <si>
    <t>Share Price</t>
  </si>
  <si>
    <t>Counter</t>
  </si>
  <si>
    <t>Investor Cofounder Shares BEG</t>
  </si>
  <si>
    <t>Currency Result</t>
  </si>
  <si>
    <t>[Modelling contact]</t>
  </si>
  <si>
    <t>Date</t>
  </si>
  <si>
    <t>Shares In Issue</t>
  </si>
  <si>
    <t>Other Investor %</t>
  </si>
  <si>
    <t>Proceeds to Investor Cofounder</t>
  </si>
  <si>
    <t>less</t>
  </si>
  <si>
    <t>Exited Companies</t>
  </si>
  <si>
    <t>Shares in Issue</t>
  </si>
  <si>
    <t>Total Shares In Issue</t>
  </si>
  <si>
    <t>Total %</t>
  </si>
  <si>
    <t>Total Exit Proceeds</t>
  </si>
  <si>
    <t>Standard Result</t>
  </si>
  <si>
    <t>Scenario 1</t>
  </si>
  <si>
    <t>Base case 2</t>
  </si>
  <si>
    <t>Period number</t>
  </si>
  <si>
    <t>this is the new format</t>
  </si>
  <si>
    <t>Start date</t>
  </si>
  <si>
    <t>COHORT</t>
  </si>
  <si>
    <t>Investor Cofounder Shares</t>
  </si>
  <si>
    <t>Studio Cofounder Value</t>
  </si>
  <si>
    <t>Proceeds to Sector Cofounder</t>
  </si>
  <si>
    <t>Exits</t>
  </si>
  <si>
    <t>Failed Companies</t>
  </si>
  <si>
    <t>Cohort Loan Balance BEG</t>
  </si>
  <si>
    <t>Standard Calculation</t>
  </si>
  <si>
    <t>Date Input</t>
  </si>
  <si>
    <t>MODEL RUN INFO</t>
  </si>
  <si>
    <t>Model period end</t>
  </si>
  <si>
    <t>Financial year ending</t>
  </si>
  <si>
    <t>New Studio Cofounder Shares</t>
  </si>
  <si>
    <t>Drawdowns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</si>
</sst>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7">
    <numFmt numFmtId="164" formatCode="dd/mm/yyyy;@"/>
    <numFmt numFmtId="165" formatCode="#,##0_);\(#,##0\);&quot;-  &quot;;&quot; &quot;@&quot; &quot;"/>
    <numFmt numFmtId="166" formatCode="#,##0_);\(#,##0\);&quot;-  &quot;;&quot; &quot;@"/>
    <numFmt numFmtId="167" formatCode="dd\ mmm\ yy_);\(###0\);&quot;-  &quot;;&quot; &quot;@&quot; &quot;"/>
    <numFmt numFmtId="168" formatCode="#,##0.0000_);\(#,##0.0000\);&quot;-  &quot;;&quot; &quot;@&quot; &quot;"/>
    <numFmt numFmtId="169" formatCode="0.00%_);\-0.00%_);&quot;-  &quot;;&quot; &quot;@&quot; &quot;"/>
    <numFmt numFmtId="170" formatCode="dd\ mmm\ yyyy_);\(###0\);&quot;-  &quot;;&quot; &quot;@&quot; &quot;"/>
    <numFmt numFmtId="171" formatCode="###0_);\(###0\);&quot;-  &quot;;&quot; &quot;@&quot; &quot;"/>
    <numFmt numFmtId="172" formatCode="[$-F400]h:mm:ss\ AM/PM"/>
    <numFmt numFmtId="173" formatCode="dd/mmm/yy_);;&quot;-  &quot;;&quot; &quot;@"/>
    <numFmt numFmtId="174" formatCode="&quot;tu&quot;;;&quot;vw&quot;"/>
    <numFmt numFmtId="175" formatCode="#,##0.000_);\(#,##0.000\);&quot;-  &quot;;&quot; &quot;@"/>
    <numFmt numFmtId="176" formatCode="0%_);\-0%_);&quot;-  &quot;;&quot; &quot;@&quot; &quot;"/>
    <numFmt numFmtId="177" formatCode="0;0;&quot;-&quot;"/>
    <numFmt numFmtId="178" formatCode="0.00%;\-0.00%_);&quot;-  &quot;;&quot; &quot;@&quot; &quot;"/>
    <numFmt numFmtId="179" formatCode="#,##0.0000;\(#,##0.0000\);&quot;-  &quot;;&quot; &quot;@&quot; &quot;"/>
    <numFmt numFmtId="180" formatCode="#,##0.0_);\(#,##0\);&quot;-  &quot;;&quot; &quot;@&quot; &quot;"/>
  </numFmts>
  <fonts count="53">
    <font>
      <sz val="8"/>
      <color theme="1"/>
      <name val="Tahoma"/>
      <family val="2"/>
    </font>
    <font>
      <sz val="10"/>
      <name val="Arial"/>
      <family val="2"/>
    </font>
    <font>
      <sz val="11"/>
      <color theme="1"/>
      <name val="Calibri"/>
      <family val="2"/>
      <scheme val="minor"/>
    </font>
    <font>
      <u/>
      <sz val="8"/>
      <color theme="10"/>
      <name val="Tahoma"/>
      <family val="2"/>
    </font>
    <font>
      <sz val="10"/>
      <color rgb="FF000000"/>
      <name val="Arial"/>
      <family val="2"/>
    </font>
    <font>
      <i/>
      <sz val="8"/>
      <color theme="1"/>
      <name val="Tahoma"/>
      <family val="2"/>
    </font>
    <font>
      <sz val="10"/>
      <color rgb="FF0000FF"/>
      <name val="Arial"/>
      <family val="2"/>
    </font>
    <font>
      <b/>
      <sz val="10"/>
      <name val="Arial"/>
      <family val="2"/>
    </font>
    <font>
      <sz val="10"/>
      <color rgb="FFFF0000"/>
      <name val="Arial"/>
      <family val="2"/>
    </font>
    <font>
      <b/>
      <sz val="14"/>
      <name val="Arial"/>
      <family val="2"/>
    </font>
    <font>
      <b/>
      <sz val="10"/>
      <color rgb="FF0000FF"/>
      <name val="Arial"/>
      <family val="2"/>
    </font>
    <font>
      <b/>
      <sz val="10"/>
      <color rgb="FFFF0000"/>
      <name val="Arial"/>
      <family val="2"/>
    </font>
    <font>
      <sz val="10"/>
      <color theme="1"/>
      <name val="Arial"/>
      <family val="2"/>
    </font>
    <font>
      <u/>
      <sz val="10"/>
      <color rgb="FF0000FF"/>
      <name val="Arial"/>
      <family val="2"/>
    </font>
    <font>
      <b/>
      <sz val="10"/>
      <color rgb="FF000000"/>
      <name val="Arial"/>
      <family val="2"/>
    </font>
    <font>
      <sz val="16"/>
      <color indexed="12"/>
      <name val="Arial"/>
      <family val="2"/>
    </font>
    <font>
      <u/>
      <sz val="10"/>
      <color rgb="FFFF0000"/>
      <name val="Arial"/>
      <family val="2"/>
    </font>
    <font>
      <b/>
      <sz val="20"/>
      <name val="Arial"/>
      <family val="2"/>
    </font>
    <font>
      <u/>
      <sz val="10"/>
      <name val="Arial"/>
      <family val="2"/>
    </font>
    <font>
      <u/>
      <sz val="12"/>
      <color theme="10"/>
      <name val="Tahoma"/>
      <family val="2"/>
    </font>
    <font>
      <i/>
      <sz val="10"/>
      <name val="Arial"/>
      <family val="2"/>
    </font>
    <font>
      <sz val="20"/>
      <name val="Arial"/>
      <family val="2"/>
    </font>
    <font>
      <sz val="8"/>
      <color theme="1"/>
      <name val="Times New Roman"/>
      <family val="1"/>
    </font>
    <font>
      <u/>
      <sz val="20"/>
      <name val="Arial"/>
      <family val="2"/>
    </font>
    <font>
      <u/>
      <sz val="10"/>
      <color rgb="FF000000"/>
      <name val="Arial"/>
      <family val="2"/>
    </font>
    <font>
      <u/>
      <sz val="10"/>
      <color rgb="FF00B050"/>
      <name val="Arial"/>
      <family val="2"/>
    </font>
    <font>
      <sz val="10"/>
      <color theme="0" tint="-0.24991607409894101"/>
      <name val="Wingdings 3"/>
      <family val="1"/>
      <charset val="2"/>
    </font>
    <font>
      <sz val="10"/>
      <color theme="0" tint="-0.24994659260841701"/>
      <name val="Arial"/>
      <family val="2"/>
    </font>
    <font>
      <sz val="8"/>
      <color theme="1"/>
      <name val="Arial"/>
      <family val="2"/>
    </font>
    <font>
      <sz val="36"/>
      <color theme="0" tint="-0.24994659260841701"/>
      <name val="Wingdings 3"/>
      <family val="1"/>
      <charset val="2"/>
    </font>
    <font>
      <sz val="8"/>
      <name val="Arial"/>
      <family val="2"/>
    </font>
    <font>
      <sz val="10"/>
      <color rgb="FF00B050"/>
      <name val="Arial"/>
      <family val="2"/>
    </font>
    <font>
      <b/>
      <sz val="12"/>
      <name val="Arial"/>
      <family val="2"/>
    </font>
    <font>
      <b/>
      <sz val="18"/>
      <name val="Circular Pro Black"/>
      <family val="2"/>
    </font>
    <font>
      <b/>
      <sz val="11"/>
      <color theme="1"/>
      <name val="Arial"/>
      <family val="2"/>
    </font>
    <font>
      <b/>
      <u/>
      <sz val="12"/>
      <color rgb="FF00B050"/>
      <name val="Arial"/>
      <family val="2"/>
    </font>
    <font>
      <sz val="11"/>
      <color theme="1"/>
      <name val="Arial"/>
      <family val="2"/>
    </font>
    <font>
      <sz val="10"/>
      <color theme="0" tint="-0.24994659260841701"/>
      <name val="Wingdings 3"/>
      <family val="1"/>
      <charset val="2"/>
    </font>
    <font>
      <sz val="10"/>
      <color indexed="12"/>
      <name val="Arial"/>
      <family val="2"/>
    </font>
    <font>
      <sz val="12"/>
      <color theme="1"/>
      <name val="Times New Roman"/>
      <family val="1"/>
    </font>
    <font>
      <sz val="10"/>
      <color theme="0" tint="-0.24991607409894101"/>
      <name val="Arial"/>
      <family val="2"/>
    </font>
    <font>
      <u/>
      <sz val="12"/>
      <color rgb="FF0000FF"/>
      <name val="Arial"/>
      <family val="2"/>
    </font>
    <font>
      <sz val="10"/>
      <color theme="1"/>
      <name val="Times New Roman"/>
      <family val="1"/>
    </font>
    <font>
      <sz val="10"/>
      <name val="Circular Pro Bold"/>
      <family val="2"/>
    </font>
    <font>
      <b/>
      <u/>
      <sz val="14"/>
      <color theme="1"/>
      <name val="Times New Roman"/>
      <family val="1"/>
    </font>
    <font>
      <u/>
      <sz val="10"/>
      <color theme="0" tint="-0.24994659260841701"/>
      <name val="Arial"/>
      <family val="2"/>
    </font>
    <font>
      <b/>
      <sz val="10"/>
      <color theme="1"/>
      <name val="Arial"/>
      <family val="2"/>
    </font>
    <font>
      <sz val="18"/>
      <name val="Arial"/>
      <family val="2"/>
    </font>
    <font>
      <sz val="10"/>
      <color indexed="10"/>
      <name val="Arial"/>
      <family val="2"/>
    </font>
    <font>
      <sz val="11"/>
      <name val="Calibri"/>
      <family val="2"/>
      <scheme val="minor"/>
    </font>
    <font>
      <sz val="16"/>
      <color theme="0" tint="-0.24994659260841701"/>
      <name val="Arial"/>
      <family val="2"/>
    </font>
    <font>
      <u/>
      <sz val="12"/>
      <color rgb="FF00B050"/>
      <name val="Arial"/>
      <family val="2"/>
    </font>
    <font>
      <sz val="8"/>
      <color theme="1"/>
      <name val="Tahoma"/>
      <family val="2"/>
    </font>
  </fonts>
  <fills count="12">
    <fill>
      <patternFill patternType="none"/>
    </fill>
    <fill>
      <patternFill patternType="gray125"/>
    </fill>
    <fill>
      <patternFill patternType="solid">
        <fgColor rgb="FFFFFFE5"/>
        <bgColor indexed="64"/>
      </patternFill>
    </fill>
    <fill>
      <patternFill patternType="solid">
        <fgColor rgb="FFC0C0C0"/>
        <bgColor indexed="64"/>
      </patternFill>
    </fill>
    <fill>
      <patternFill patternType="solid">
        <fgColor theme="8" tint="0.59996337778862885"/>
        <bgColor indexed="64"/>
      </patternFill>
    </fill>
    <fill>
      <patternFill patternType="solid">
        <fgColor rgb="FFFFFF99"/>
        <bgColor indexed="64"/>
      </patternFill>
    </fill>
    <fill>
      <patternFill patternType="solid">
        <fgColor rgb="FF92D050"/>
        <bgColor indexed="64"/>
      </patternFill>
    </fill>
    <fill>
      <patternFill patternType="solid">
        <fgColor rgb="FFFFFFAF"/>
        <bgColor indexed="64"/>
      </patternFill>
    </fill>
    <fill>
      <patternFill patternType="solid">
        <fgColor indexed="41"/>
        <bgColor indexed="64"/>
      </patternFill>
    </fill>
    <fill>
      <patternFill patternType="solid">
        <fgColor rgb="FFD9D9D9"/>
        <bgColor indexed="64"/>
      </patternFill>
    </fill>
    <fill>
      <patternFill patternType="solid">
        <fgColor rgb="FFCCFFFF"/>
        <bgColor indexed="64"/>
      </patternFill>
    </fill>
    <fill>
      <patternFill patternType="solid">
        <fgColor rgb="FFE9F5DB"/>
        <bgColor indexed="64"/>
      </patternFill>
    </fill>
  </fills>
  <borders count="12">
    <border>
      <left/>
      <right/>
      <top/>
      <bottom/>
      <diagonal/>
    </border>
    <border>
      <left style="thin">
        <color theme="0" tint="-0.24991607409894101"/>
      </left>
      <right/>
      <top style="thin">
        <color theme="0" tint="-0.24991607409894101"/>
      </top>
      <bottom style="thin">
        <color theme="0" tint="-0.24991607409894101"/>
      </bottom>
      <diagonal/>
    </border>
    <border>
      <left/>
      <right/>
      <top style="medium">
        <color auto="1"/>
      </top>
      <bottom style="medium">
        <color auto="1"/>
      </bottom>
      <diagonal/>
    </border>
    <border>
      <left/>
      <right/>
      <top style="medium">
        <color auto="1"/>
      </top>
      <bottom style="double">
        <color auto="1"/>
      </bottom>
      <diagonal/>
    </border>
    <border>
      <left/>
      <right/>
      <top/>
      <bottom style="thin">
        <color rgb="FF808080"/>
      </bottom>
      <diagonal/>
    </border>
    <border>
      <left/>
      <right/>
      <top style="thin">
        <color rgb="FF808080"/>
      </top>
      <bottom/>
      <diagonal/>
    </border>
    <border>
      <left/>
      <right/>
      <top style="thin">
        <color rgb="FF808080"/>
      </top>
      <bottom style="thin">
        <color rgb="FF808080"/>
      </bottom>
      <diagonal/>
    </border>
    <border>
      <left style="thin">
        <color theme="0" tint="-0.24991607409894101"/>
      </left>
      <right style="thin">
        <color theme="0" tint="-0.24991607409894101"/>
      </right>
      <top style="thin">
        <color theme="0" tint="-0.24991607409894101"/>
      </top>
      <bottom style="thin">
        <color theme="0" tint="-0.24991607409894101"/>
      </bottom>
      <diagonal/>
    </border>
    <border>
      <left style="thin">
        <color theme="0" tint="-0.24991607409894101"/>
      </left>
      <right style="thin">
        <color theme="0" tint="-0.24991607409894101"/>
      </right>
      <top/>
      <bottom style="thin">
        <color theme="0" tint="-0.24991607409894101"/>
      </bottom>
      <diagonal/>
    </border>
    <border>
      <left style="hair">
        <color theme="0" tint="-0.24991607409894101"/>
      </left>
      <right style="hair">
        <color indexed="64"/>
      </right>
      <top style="hair">
        <color theme="0" tint="-0.24991607409894101"/>
      </top>
      <bottom style="hair">
        <color theme="0" tint="-0.24991607409894101"/>
      </bottom>
      <diagonal/>
    </border>
    <border>
      <left style="thin">
        <color theme="0" tint="-0.24991607409894101"/>
      </left>
      <right style="thin">
        <color theme="0" tint="-0.24991607409894101"/>
      </right>
      <top style="thin">
        <color theme="0" tint="-0.24991607409894101"/>
      </top>
      <bottom/>
      <diagonal/>
    </border>
    <border>
      <left/>
      <right/>
      <top/>
      <bottom style="thin">
        <color indexed="64"/>
      </bottom>
      <diagonal/>
    </border>
  </borders>
  <cellStyleXfs count="36">
    <xf numFmtId="165" fontId="0" fillId="0" borderId="0" applyFont="0" applyFill="0" applyBorder="0" applyProtection="0">
      <alignment vertical="top"/>
    </xf>
    <xf numFmtId="165" fontId="1" fillId="0" borderId="0" applyBorder="0">
      <alignment vertical="top"/>
    </xf>
    <xf numFmtId="169" fontId="1" fillId="0" borderId="0" applyBorder="0">
      <alignment vertical="top"/>
    </xf>
    <xf numFmtId="165" fontId="1" fillId="0" borderId="0" applyBorder="0">
      <alignment vertical="top"/>
    </xf>
    <xf numFmtId="167" fontId="1" fillId="0" borderId="0" applyBorder="0">
      <alignment vertical="top"/>
    </xf>
    <xf numFmtId="166" fontId="1" fillId="0" borderId="0" applyFont="0" applyFill="0" applyBorder="0" applyProtection="0">
      <alignment vertical="top"/>
    </xf>
    <xf numFmtId="170" fontId="1" fillId="0" borderId="0" applyFont="0" applyFill="0" applyBorder="0" applyProtection="0">
      <alignment vertical="top"/>
    </xf>
    <xf numFmtId="170" fontId="1" fillId="0" borderId="0" applyFont="0" applyFill="0" applyBorder="0" applyProtection="0">
      <alignment vertical="top"/>
    </xf>
    <xf numFmtId="167" fontId="1" fillId="0" borderId="0" applyFont="0" applyFill="0" applyBorder="0" applyProtection="0">
      <alignment vertical="top"/>
    </xf>
    <xf numFmtId="167" fontId="1" fillId="0" borderId="0" applyFont="0" applyFill="0" applyBorder="0" applyProtection="0">
      <alignment vertical="top"/>
    </xf>
    <xf numFmtId="179" fontId="1" fillId="0" borderId="0" applyFont="0" applyFill="0" applyBorder="0" applyProtection="0">
      <alignment vertical="top"/>
    </xf>
    <xf numFmtId="168" fontId="2" fillId="0" borderId="0" applyFont="0" applyFill="0" applyBorder="0" applyProtection="0">
      <alignment vertical="top"/>
    </xf>
    <xf numFmtId="168" fontId="1" fillId="0" borderId="0" applyFont="0" applyFill="0" applyBorder="0" applyProtection="0">
      <alignment vertical="top"/>
    </xf>
    <xf numFmtId="0" fontId="3" fillId="0" borderId="0" applyNumberFormat="0" applyFill="0" applyBorder="0" applyAlignment="0" applyProtection="0"/>
    <xf numFmtId="169" fontId="4" fillId="2" borderId="1" applyProtection="0">
      <alignment vertical="top"/>
    </xf>
    <xf numFmtId="165" fontId="4" fillId="2" borderId="1" applyProtection="0">
      <alignment vertical="top"/>
    </xf>
    <xf numFmtId="164" fontId="4" fillId="2" borderId="1" applyProtection="0">
      <alignment vertical="top"/>
    </xf>
    <xf numFmtId="165" fontId="4" fillId="2" borderId="1" applyProtection="0">
      <alignment vertical="top"/>
    </xf>
    <xf numFmtId="165" fontId="1" fillId="0" borderId="0" applyFont="0" applyFill="0" applyBorder="0" applyProtection="0">
      <alignment vertical="top"/>
    </xf>
    <xf numFmtId="165" fontId="1" fillId="0" borderId="0" applyFont="0" applyFill="0" applyBorder="0" applyProtection="0">
      <alignment vertical="top"/>
    </xf>
    <xf numFmtId="165" fontId="2" fillId="0" borderId="0" applyFont="0" applyFill="0" applyBorder="0" applyProtection="0">
      <alignment vertical="top"/>
    </xf>
    <xf numFmtId="165" fontId="2" fillId="0" borderId="0" applyFont="0" applyFill="0" applyBorder="0" applyProtection="0">
      <alignment vertical="top"/>
    </xf>
    <xf numFmtId="165" fontId="1" fillId="0" borderId="0" applyFont="0" applyFill="0" applyBorder="0" applyProtection="0">
      <alignment vertical="top"/>
    </xf>
    <xf numFmtId="178" fontId="52" fillId="0" borderId="0" applyFont="0" applyFill="0" applyBorder="0" applyProtection="0">
      <alignment vertical="top"/>
    </xf>
    <xf numFmtId="169" fontId="1" fillId="0" borderId="0" applyFont="0" applyFill="0" applyBorder="0" applyProtection="0">
      <alignment vertical="top"/>
    </xf>
    <xf numFmtId="169" fontId="2" fillId="0" borderId="0" applyFont="0" applyFill="0" applyBorder="0" applyProtection="0">
      <alignment vertical="top"/>
    </xf>
    <xf numFmtId="169" fontId="1" fillId="0" borderId="0" applyFont="0" applyFill="0" applyBorder="0" applyProtection="0">
      <alignment vertical="top"/>
    </xf>
    <xf numFmtId="165" fontId="5" fillId="0" borderId="0" applyNumberFormat="0">
      <alignment horizontal="left" vertical="top" indent="4"/>
    </xf>
    <xf numFmtId="165" fontId="52" fillId="0" borderId="2" applyNumberFormat="0" applyFont="0" applyFill="0" applyAlignment="0">
      <alignment vertical="top"/>
    </xf>
    <xf numFmtId="165" fontId="52" fillId="0" borderId="3" applyNumberFormat="0" applyFont="0" applyFill="0" applyAlignment="0">
      <alignment vertical="top"/>
    </xf>
    <xf numFmtId="166" fontId="1" fillId="0" borderId="0" applyBorder="0">
      <alignment vertical="top"/>
    </xf>
    <xf numFmtId="9" fontId="1" fillId="0" borderId="0" applyBorder="0">
      <alignment vertical="top"/>
    </xf>
    <xf numFmtId="166" fontId="1" fillId="0" borderId="0" applyBorder="0">
      <alignment vertical="top"/>
    </xf>
    <xf numFmtId="167" fontId="4" fillId="0" borderId="0" applyBorder="0">
      <alignment vertical="top"/>
    </xf>
    <xf numFmtId="171" fontId="1" fillId="0" borderId="0" applyFont="0" applyFill="0" applyBorder="0" applyProtection="0">
      <alignment vertical="top"/>
    </xf>
    <xf numFmtId="171" fontId="1" fillId="0" borderId="0" applyFont="0" applyFill="0" applyBorder="0" applyProtection="0">
      <alignment vertical="top"/>
    </xf>
  </cellStyleXfs>
  <cellXfs count="301">
    <xf numFmtId="165" fontId="0" fillId="0" borderId="0" xfId="0">
      <alignment vertical="top"/>
    </xf>
    <xf numFmtId="180" fontId="1" fillId="0" borderId="0" xfId="1" applyNumberFormat="1">
      <alignment vertical="top"/>
    </xf>
    <xf numFmtId="165" fontId="1" fillId="0" borderId="0" xfId="3">
      <alignment vertical="top"/>
    </xf>
    <xf numFmtId="165" fontId="6" fillId="0" borderId="0" xfId="3" applyFont="1">
      <alignment vertical="top"/>
    </xf>
    <xf numFmtId="167" fontId="7" fillId="0" borderId="0" xfId="9" applyFont="1">
      <alignment vertical="top"/>
    </xf>
    <xf numFmtId="166" fontId="1" fillId="3" borderId="0" xfId="5" applyFont="1" applyFill="1" applyAlignment="1">
      <alignment horizontal="right" vertical="top"/>
    </xf>
    <xf numFmtId="165" fontId="8" fillId="0" borderId="0" xfId="3" applyFont="1">
      <alignment vertical="top"/>
    </xf>
    <xf numFmtId="165" fontId="9" fillId="4" borderId="0" xfId="18" applyFont="1" applyFill="1" applyAlignment="1">
      <alignment vertical="center"/>
    </xf>
    <xf numFmtId="166" fontId="1" fillId="0" borderId="0" xfId="5" applyFont="1">
      <alignment vertical="top"/>
    </xf>
    <xf numFmtId="180" fontId="6" fillId="0" borderId="0" xfId="1" applyNumberFormat="1" applyFont="1">
      <alignment vertical="top"/>
    </xf>
    <xf numFmtId="165" fontId="1" fillId="4" borderId="0" xfId="18" applyFont="1" applyFill="1">
      <alignment vertical="top"/>
    </xf>
    <xf numFmtId="166" fontId="1" fillId="0" borderId="0" xfId="30">
      <alignment vertical="top"/>
    </xf>
    <xf numFmtId="180" fontId="8" fillId="0" borderId="4" xfId="1" applyNumberFormat="1" applyFont="1" applyBorder="1">
      <alignment vertical="top"/>
    </xf>
    <xf numFmtId="180" fontId="6" fillId="0" borderId="5" xfId="1" applyNumberFormat="1" applyFont="1" applyBorder="1">
      <alignment vertical="top"/>
    </xf>
    <xf numFmtId="165" fontId="8" fillId="0" borderId="0" xfId="18" applyFont="1">
      <alignment vertical="top"/>
    </xf>
    <xf numFmtId="169" fontId="1" fillId="0" borderId="0" xfId="2">
      <alignment vertical="top"/>
    </xf>
    <xf numFmtId="166" fontId="1" fillId="0" borderId="6" xfId="30" applyBorder="1">
      <alignment vertical="top"/>
    </xf>
    <xf numFmtId="165" fontId="4" fillId="0" borderId="0" xfId="18" applyFont="1">
      <alignment vertical="top"/>
    </xf>
    <xf numFmtId="165" fontId="10" fillId="0" borderId="0" xfId="18" applyFont="1">
      <alignment vertical="top"/>
    </xf>
    <xf numFmtId="165" fontId="4" fillId="5" borderId="1" xfId="17" applyFill="1" applyProtection="1">
      <alignment vertical="top"/>
      <protection locked="0"/>
    </xf>
    <xf numFmtId="165" fontId="7" fillId="0" borderId="0" xfId="18" applyFont="1">
      <alignment vertical="top"/>
    </xf>
    <xf numFmtId="169" fontId="6" fillId="0" borderId="0" xfId="2" applyFont="1">
      <alignment vertical="top"/>
    </xf>
    <xf numFmtId="165" fontId="8" fillId="0" borderId="4" xfId="18" applyFont="1" applyBorder="1">
      <alignment vertical="top"/>
    </xf>
    <xf numFmtId="169" fontId="8" fillId="0" borderId="0" xfId="2" applyFont="1">
      <alignment vertical="top"/>
    </xf>
    <xf numFmtId="165" fontId="11" fillId="0" borderId="0" xfId="18" applyFont="1">
      <alignment vertical="top"/>
    </xf>
    <xf numFmtId="166" fontId="12" fillId="0" borderId="0" xfId="0" applyNumberFormat="1" applyFont="1">
      <alignment vertical="top"/>
    </xf>
    <xf numFmtId="180" fontId="1" fillId="0" borderId="0" xfId="30" applyNumberFormat="1">
      <alignment vertical="top"/>
    </xf>
    <xf numFmtId="165" fontId="7" fillId="0" borderId="0" xfId="0" applyFont="1">
      <alignment vertical="top"/>
    </xf>
    <xf numFmtId="165" fontId="13" fillId="0" borderId="0" xfId="18" applyFont="1">
      <alignment vertical="top"/>
    </xf>
    <xf numFmtId="165" fontId="6" fillId="0" borderId="0" xfId="18" applyFont="1" applyAlignment="1">
      <alignment horizontal="right" vertical="top"/>
    </xf>
    <xf numFmtId="171" fontId="1" fillId="0" borderId="0" xfId="5" applyNumberFormat="1" applyFont="1">
      <alignment vertical="top"/>
    </xf>
    <xf numFmtId="167" fontId="1" fillId="0" borderId="0" xfId="4">
      <alignment vertical="top"/>
    </xf>
    <xf numFmtId="171" fontId="4" fillId="0" borderId="0" xfId="34" applyFont="1">
      <alignment vertical="top"/>
    </xf>
    <xf numFmtId="165" fontId="10" fillId="0" borderId="5" xfId="18" applyFont="1" applyBorder="1">
      <alignment vertical="top"/>
    </xf>
    <xf numFmtId="165" fontId="8" fillId="0" borderId="4" xfId="3" applyFont="1" applyBorder="1">
      <alignment vertical="top"/>
    </xf>
    <xf numFmtId="165" fontId="11" fillId="0" borderId="4" xfId="18" applyFont="1" applyBorder="1">
      <alignment vertical="top"/>
    </xf>
    <xf numFmtId="180" fontId="4" fillId="5" borderId="1" xfId="17" applyNumberFormat="1" applyFill="1" applyProtection="1">
      <alignment vertical="top"/>
      <protection locked="0"/>
    </xf>
    <xf numFmtId="165" fontId="1" fillId="0" borderId="0" xfId="18" applyFont="1">
      <alignment vertical="top"/>
    </xf>
    <xf numFmtId="165" fontId="1" fillId="0" borderId="0" xfId="30" applyNumberFormat="1">
      <alignment vertical="top"/>
    </xf>
    <xf numFmtId="169" fontId="1" fillId="0" borderId="0" xfId="31" applyNumberFormat="1">
      <alignment vertical="top"/>
    </xf>
    <xf numFmtId="165" fontId="14" fillId="0" borderId="0" xfId="18" applyFont="1">
      <alignment vertical="top"/>
    </xf>
    <xf numFmtId="165" fontId="1" fillId="0" borderId="0" xfId="0" applyFont="1">
      <alignment vertical="top"/>
    </xf>
    <xf numFmtId="165" fontId="15" fillId="0" borderId="0" xfId="18" applyFont="1" applyAlignment="1">
      <alignment horizontal="left" vertical="top"/>
    </xf>
    <xf numFmtId="165" fontId="8" fillId="0" borderId="0" xfId="18" applyFont="1" applyAlignment="1">
      <alignment horizontal="right" vertical="top"/>
    </xf>
    <xf numFmtId="169" fontId="4" fillId="5" borderId="1" xfId="14" applyFill="1" applyProtection="1">
      <alignment vertical="top"/>
      <protection locked="0"/>
    </xf>
    <xf numFmtId="165" fontId="16" fillId="0" borderId="0" xfId="18" applyFont="1">
      <alignment vertical="top"/>
    </xf>
    <xf numFmtId="165" fontId="17" fillId="0" borderId="0" xfId="20" applyFont="1">
      <alignment vertical="top"/>
    </xf>
    <xf numFmtId="165" fontId="18" fillId="0" borderId="0" xfId="18" applyFont="1">
      <alignment vertical="top"/>
    </xf>
    <xf numFmtId="165" fontId="1" fillId="0" borderId="0" xfId="18">
      <alignment vertical="top"/>
    </xf>
    <xf numFmtId="165" fontId="19" fillId="0" borderId="0" xfId="13" applyNumberFormat="1" applyFont="1" applyAlignment="1">
      <alignment vertical="top"/>
    </xf>
    <xf numFmtId="167" fontId="4" fillId="0" borderId="0" xfId="8" applyFont="1">
      <alignment vertical="top"/>
    </xf>
    <xf numFmtId="177" fontId="1" fillId="6" borderId="0" xfId="0" applyNumberFormat="1" applyFont="1" applyFill="1" applyBorder="1" applyAlignment="1">
      <alignment horizontal="center" vertical="top"/>
    </xf>
    <xf numFmtId="167" fontId="20" fillId="0" borderId="0" xfId="9" applyFont="1">
      <alignment vertical="top"/>
    </xf>
    <xf numFmtId="165" fontId="1" fillId="0" borderId="0" xfId="18" applyFont="1" applyFill="1" applyBorder="1">
      <alignment vertical="top"/>
    </xf>
    <xf numFmtId="165" fontId="1" fillId="0" borderId="0" xfId="20" applyFont="1">
      <alignment vertical="top"/>
    </xf>
    <xf numFmtId="166" fontId="12" fillId="0" borderId="6" xfId="0" applyNumberFormat="1" applyFont="1" applyBorder="1">
      <alignment vertical="top"/>
    </xf>
    <xf numFmtId="165" fontId="21" fillId="0" borderId="0" xfId="18" applyFont="1">
      <alignment vertical="top"/>
    </xf>
    <xf numFmtId="180" fontId="12" fillId="0" borderId="0" xfId="0" applyNumberFormat="1" applyFont="1">
      <alignment vertical="top"/>
    </xf>
    <xf numFmtId="165" fontId="6" fillId="0" borderId="5" xfId="18" applyFont="1" applyBorder="1" applyAlignment="1">
      <alignment horizontal="right" vertical="top"/>
    </xf>
    <xf numFmtId="165" fontId="1" fillId="0" borderId="4" xfId="18" applyBorder="1">
      <alignment vertical="top"/>
    </xf>
    <xf numFmtId="165" fontId="16" fillId="0" borderId="4" xfId="18" applyFont="1" applyBorder="1">
      <alignment vertical="top"/>
    </xf>
    <xf numFmtId="169" fontId="8" fillId="0" borderId="4" xfId="2" applyFont="1" applyBorder="1">
      <alignment vertical="top"/>
    </xf>
    <xf numFmtId="165" fontId="13" fillId="0" borderId="5" xfId="18" applyFont="1" applyBorder="1">
      <alignment vertical="top"/>
    </xf>
    <xf numFmtId="165" fontId="8" fillId="0" borderId="4" xfId="18" applyFont="1" applyBorder="1" applyAlignment="1">
      <alignment horizontal="right" vertical="top"/>
    </xf>
    <xf numFmtId="165" fontId="1" fillId="0" borderId="5" xfId="18" applyBorder="1">
      <alignment vertical="top"/>
    </xf>
    <xf numFmtId="180" fontId="8" fillId="0" borderId="0" xfId="1" applyNumberFormat="1" applyFont="1">
      <alignment vertical="top"/>
    </xf>
    <xf numFmtId="165" fontId="14" fillId="0" borderId="0" xfId="0" applyFont="1">
      <alignment vertical="top"/>
    </xf>
    <xf numFmtId="169" fontId="1" fillId="0" borderId="6" xfId="31" applyNumberFormat="1" applyBorder="1">
      <alignment vertical="top"/>
    </xf>
    <xf numFmtId="165" fontId="15" fillId="0" borderId="0" xfId="0" applyFont="1" applyAlignment="1">
      <alignment horizontal="left" vertical="top"/>
    </xf>
    <xf numFmtId="165" fontId="18" fillId="0" borderId="0" xfId="0" applyFont="1">
      <alignment vertical="top"/>
    </xf>
    <xf numFmtId="167" fontId="8" fillId="0" borderId="0" xfId="4" applyFont="1">
      <alignment vertical="top"/>
    </xf>
    <xf numFmtId="165" fontId="7" fillId="0" borderId="0" xfId="18" applyFont="1" applyFill="1" applyBorder="1">
      <alignment vertical="top"/>
    </xf>
    <xf numFmtId="165" fontId="4" fillId="0" borderId="0" xfId="18" applyFont="1" applyFill="1">
      <alignment vertical="top"/>
    </xf>
    <xf numFmtId="166" fontId="1" fillId="7" borderId="7" xfId="5" applyFont="1" applyFill="1" applyBorder="1" applyAlignment="1">
      <alignment horizontal="center" vertical="top"/>
    </xf>
    <xf numFmtId="165" fontId="22" fillId="0" borderId="0" xfId="0" applyFont="1">
      <alignment vertical="top"/>
    </xf>
    <xf numFmtId="165" fontId="4" fillId="0" borderId="0" xfId="0" applyFont="1">
      <alignment vertical="top"/>
    </xf>
    <xf numFmtId="165" fontId="1" fillId="0" borderId="0" xfId="18" applyFont="1" applyFill="1">
      <alignment vertical="top"/>
    </xf>
    <xf numFmtId="165" fontId="17" fillId="0" borderId="0" xfId="18" applyFont="1">
      <alignment vertical="top"/>
    </xf>
    <xf numFmtId="165" fontId="23" fillId="0" borderId="0" xfId="18" applyFont="1">
      <alignment vertical="top"/>
    </xf>
    <xf numFmtId="165" fontId="24" fillId="0" borderId="0" xfId="18" applyFont="1">
      <alignment vertical="top"/>
    </xf>
    <xf numFmtId="165" fontId="7" fillId="0" borderId="0" xfId="20" applyFont="1">
      <alignment vertical="top"/>
    </xf>
    <xf numFmtId="169" fontId="1" fillId="0" borderId="0" xfId="26" applyFont="1" applyFill="1" applyBorder="1">
      <alignment vertical="top"/>
    </xf>
    <xf numFmtId="165" fontId="4" fillId="0" borderId="0" xfId="18" applyFont="1" applyAlignment="1">
      <alignment horizontal="right" vertical="top"/>
    </xf>
    <xf numFmtId="165" fontId="12" fillId="0" borderId="0" xfId="0" applyFont="1">
      <alignment vertical="top"/>
    </xf>
    <xf numFmtId="166" fontId="1" fillId="0" borderId="0" xfId="0" applyNumberFormat="1" applyFont="1">
      <alignment vertical="top"/>
    </xf>
    <xf numFmtId="169" fontId="12" fillId="0" borderId="0" xfId="0" applyNumberFormat="1" applyFont="1">
      <alignment vertical="top"/>
    </xf>
    <xf numFmtId="165" fontId="1" fillId="0" borderId="0" xfId="18" applyAlignment="1">
      <alignment horizontal="right" vertical="top"/>
    </xf>
    <xf numFmtId="165" fontId="1" fillId="0" borderId="0" xfId="18" applyFont="1" applyAlignment="1">
      <alignment horizontal="right" vertical="top"/>
    </xf>
    <xf numFmtId="167" fontId="4" fillId="5" borderId="1" xfId="16" applyNumberFormat="1" applyFill="1" applyProtection="1">
      <alignment vertical="top"/>
      <protection locked="0"/>
    </xf>
    <xf numFmtId="167" fontId="7" fillId="7" borderId="7" xfId="9" applyFont="1" applyFill="1" applyBorder="1" applyAlignment="1">
      <alignment horizontal="center" vertical="center"/>
    </xf>
    <xf numFmtId="165" fontId="21" fillId="0" borderId="0" xfId="18" applyFont="1" applyAlignment="1">
      <alignment horizontal="right" vertical="top"/>
    </xf>
    <xf numFmtId="169" fontId="6" fillId="0" borderId="0" xfId="26" applyFont="1" applyFill="1">
      <alignment vertical="top"/>
    </xf>
    <xf numFmtId="165" fontId="1" fillId="8" borderId="0" xfId="18" applyFont="1" applyFill="1">
      <alignment vertical="top"/>
    </xf>
    <xf numFmtId="165" fontId="25" fillId="0" borderId="0" xfId="0" applyFont="1">
      <alignment vertical="top"/>
    </xf>
    <xf numFmtId="165" fontId="1" fillId="0" borderId="0" xfId="22">
      <alignment vertical="top"/>
    </xf>
    <xf numFmtId="180" fontId="2" fillId="9" borderId="0" xfId="20" applyNumberFormat="1" applyFill="1">
      <alignment vertical="top"/>
    </xf>
    <xf numFmtId="169" fontId="1" fillId="8" borderId="0" xfId="26" applyFont="1" applyFill="1">
      <alignment vertical="top"/>
    </xf>
    <xf numFmtId="165" fontId="1" fillId="9" borderId="0" xfId="18" applyFont="1" applyFill="1">
      <alignment vertical="top"/>
    </xf>
    <xf numFmtId="166" fontId="1" fillId="0" borderId="6" xfId="0" applyNumberFormat="1" applyFont="1" applyBorder="1">
      <alignment vertical="top"/>
    </xf>
    <xf numFmtId="180" fontId="12" fillId="0" borderId="0" xfId="20" applyNumberFormat="1" applyFont="1">
      <alignment vertical="top"/>
    </xf>
    <xf numFmtId="165" fontId="2" fillId="0" borderId="0" xfId="20">
      <alignment vertical="top"/>
    </xf>
    <xf numFmtId="166" fontId="1" fillId="9" borderId="0" xfId="5" applyFont="1" applyFill="1">
      <alignment vertical="top"/>
    </xf>
    <xf numFmtId="165" fontId="24" fillId="0" borderId="0" xfId="0" applyFont="1">
      <alignment vertical="top"/>
    </xf>
    <xf numFmtId="165" fontId="23" fillId="0" borderId="0" xfId="0" applyFont="1">
      <alignment vertical="top"/>
    </xf>
    <xf numFmtId="165" fontId="17" fillId="0" borderId="0" xfId="0" applyFont="1">
      <alignment vertical="top"/>
    </xf>
    <xf numFmtId="165" fontId="1" fillId="0" borderId="0" xfId="18" applyFont="1" applyFill="1" applyBorder="1" applyAlignment="1">
      <alignment horizontal="right" vertical="top"/>
    </xf>
    <xf numFmtId="165" fontId="21" fillId="0" borderId="0" xfId="0" applyFont="1" applyAlignment="1">
      <alignment horizontal="left" vertical="top"/>
    </xf>
    <xf numFmtId="165" fontId="1" fillId="0" borderId="0" xfId="0" applyFont="1" applyAlignment="1">
      <alignment horizontal="left" vertical="top"/>
    </xf>
    <xf numFmtId="169" fontId="1" fillId="9" borderId="0" xfId="26" applyFont="1" applyFill="1">
      <alignment vertical="top"/>
    </xf>
    <xf numFmtId="180" fontId="1" fillId="0" borderId="5" xfId="1" applyNumberFormat="1" applyBorder="1">
      <alignment vertical="top"/>
    </xf>
    <xf numFmtId="165" fontId="21" fillId="0" borderId="0" xfId="0" applyFont="1">
      <alignment vertical="top"/>
    </xf>
    <xf numFmtId="165" fontId="0" fillId="0" borderId="0" xfId="0" applyAlignment="1">
      <alignment horizontal="left" vertical="top"/>
    </xf>
    <xf numFmtId="165" fontId="1" fillId="0" borderId="0" xfId="18" applyFont="1" applyBorder="1">
      <alignment vertical="top"/>
    </xf>
    <xf numFmtId="165" fontId="4" fillId="0" borderId="0" xfId="18" applyFont="1" applyFill="1" applyBorder="1">
      <alignment vertical="top"/>
    </xf>
    <xf numFmtId="165" fontId="4" fillId="0" borderId="0" xfId="0" applyFont="1" applyAlignment="1">
      <alignment horizontal="left" vertical="top"/>
    </xf>
    <xf numFmtId="170" fontId="1" fillId="7" borderId="7" xfId="7" applyFont="1" applyFill="1" applyBorder="1">
      <alignment vertical="top"/>
    </xf>
    <xf numFmtId="165" fontId="1" fillId="9" borderId="0" xfId="20" applyFont="1" applyFill="1">
      <alignment vertical="top"/>
    </xf>
    <xf numFmtId="167" fontId="1" fillId="0" borderId="0" xfId="9">
      <alignment vertical="top"/>
    </xf>
    <xf numFmtId="165" fontId="26" fillId="0" borderId="0" xfId="35" applyNumberFormat="1" applyFont="1" applyAlignment="1">
      <alignment horizontal="center" vertical="top"/>
    </xf>
    <xf numFmtId="165" fontId="27" fillId="0" borderId="0" xfId="22" applyFont="1">
      <alignment vertical="top"/>
    </xf>
    <xf numFmtId="166" fontId="1" fillId="7" borderId="8" xfId="5" applyFont="1" applyFill="1" applyBorder="1" applyAlignment="1">
      <alignment horizontal="center" vertical="top"/>
    </xf>
    <xf numFmtId="165" fontId="28" fillId="0" borderId="0" xfId="0" applyFont="1">
      <alignment vertical="top"/>
    </xf>
    <xf numFmtId="169" fontId="7" fillId="0" borderId="0" xfId="26" applyFont="1" applyFill="1" applyBorder="1">
      <alignment vertical="top"/>
    </xf>
    <xf numFmtId="165" fontId="1" fillId="0" borderId="0" xfId="18" applyFont="1" applyAlignment="1">
      <alignment horizontal="left" vertical="top"/>
    </xf>
    <xf numFmtId="165" fontId="18" fillId="0" borderId="0" xfId="18" applyFont="1" applyFill="1" applyBorder="1">
      <alignment vertical="top"/>
    </xf>
    <xf numFmtId="165" fontId="27" fillId="0" borderId="0" xfId="22" applyFont="1" applyFill="1">
      <alignment vertical="top"/>
    </xf>
    <xf numFmtId="169" fontId="0" fillId="0" borderId="0" xfId="26" applyFont="1">
      <alignment vertical="top"/>
    </xf>
    <xf numFmtId="168" fontId="1" fillId="0" borderId="0" xfId="12" applyFont="1" applyFill="1" applyBorder="1">
      <alignment vertical="top"/>
    </xf>
    <xf numFmtId="165" fontId="4" fillId="8" borderId="0" xfId="18" applyFont="1" applyFill="1" applyBorder="1">
      <alignment vertical="top"/>
    </xf>
    <xf numFmtId="172" fontId="1" fillId="0" borderId="0" xfId="18" applyNumberFormat="1" applyFont="1" applyFill="1" applyBorder="1" applyAlignment="1">
      <alignment vertical="top" wrapText="1"/>
    </xf>
    <xf numFmtId="165" fontId="6" fillId="0" borderId="5" xfId="3" applyFont="1" applyBorder="1">
      <alignment vertical="top"/>
    </xf>
    <xf numFmtId="180" fontId="1" fillId="0" borderId="9" xfId="1" applyNumberFormat="1" applyBorder="1">
      <alignment vertical="top"/>
    </xf>
    <xf numFmtId="165" fontId="4" fillId="8" borderId="0" xfId="18" applyFont="1" applyFill="1">
      <alignment vertical="top"/>
    </xf>
    <xf numFmtId="168" fontId="1" fillId="8" borderId="0" xfId="12" applyFont="1" applyFill="1">
      <alignment vertical="top"/>
    </xf>
    <xf numFmtId="180" fontId="1" fillId="0" borderId="0" xfId="0" applyNumberFormat="1" applyFont="1">
      <alignment vertical="top"/>
    </xf>
    <xf numFmtId="165" fontId="7" fillId="0" borderId="0" xfId="18" applyFont="1" applyBorder="1">
      <alignment vertical="top"/>
    </xf>
    <xf numFmtId="165" fontId="4" fillId="10" borderId="0" xfId="18" applyFont="1" applyFill="1">
      <alignment vertical="top"/>
    </xf>
    <xf numFmtId="167" fontId="1" fillId="10" borderId="7" xfId="9" applyFont="1" applyFill="1" applyBorder="1" applyAlignment="1">
      <alignment horizontal="center" vertical="top"/>
    </xf>
    <xf numFmtId="180" fontId="2" fillId="0" borderId="0" xfId="20" applyNumberFormat="1">
      <alignment vertical="top"/>
    </xf>
    <xf numFmtId="172" fontId="4" fillId="8" borderId="0" xfId="9" applyNumberFormat="1" applyFont="1" applyFill="1">
      <alignment vertical="top"/>
    </xf>
    <xf numFmtId="165" fontId="4" fillId="0" borderId="0" xfId="22" applyFont="1">
      <alignment vertical="top"/>
    </xf>
    <xf numFmtId="166" fontId="4" fillId="9" borderId="0" xfId="18" applyNumberFormat="1" applyFont="1" applyFill="1">
      <alignment vertical="top"/>
    </xf>
    <xf numFmtId="169" fontId="1" fillId="0" borderId="0" xfId="18" applyNumberFormat="1">
      <alignment vertical="top"/>
    </xf>
    <xf numFmtId="173" fontId="1" fillId="10" borderId="7" xfId="18" applyNumberFormat="1" applyFont="1" applyFill="1" applyBorder="1" applyAlignment="1">
      <alignment horizontal="center" vertical="top"/>
    </xf>
    <xf numFmtId="180" fontId="1" fillId="0" borderId="0" xfId="20" applyNumberFormat="1" applyFont="1">
      <alignment vertical="top"/>
    </xf>
    <xf numFmtId="0" fontId="29" fillId="0" borderId="0" xfId="5" applyNumberFormat="1" applyFont="1" applyAlignment="1">
      <alignment horizontal="center" vertical="center"/>
    </xf>
    <xf numFmtId="165" fontId="1" fillId="0" borderId="0" xfId="18" applyFont="1" applyBorder="1" applyAlignment="1">
      <alignment horizontal="right" vertical="top"/>
    </xf>
    <xf numFmtId="165" fontId="1" fillId="0" borderId="0" xfId="20" applyFont="1" applyAlignment="1">
      <alignment horizontal="left" vertical="top"/>
    </xf>
    <xf numFmtId="167" fontId="6" fillId="0" borderId="0" xfId="4" applyFont="1">
      <alignment vertical="top"/>
    </xf>
    <xf numFmtId="166" fontId="1" fillId="0" borderId="0" xfId="18" applyNumberFormat="1" applyFont="1" applyFill="1">
      <alignment vertical="top"/>
    </xf>
    <xf numFmtId="165" fontId="1" fillId="7" borderId="7" xfId="18" applyFont="1" applyFill="1" applyBorder="1" applyAlignment="1">
      <alignment horizontal="center" vertical="top"/>
    </xf>
    <xf numFmtId="166" fontId="1" fillId="0" borderId="8" xfId="5" applyFont="1" applyFill="1" applyBorder="1" applyAlignment="1">
      <alignment horizontal="center" vertical="top"/>
    </xf>
    <xf numFmtId="168" fontId="6" fillId="0" borderId="0" xfId="12" applyFont="1" applyFill="1">
      <alignment vertical="top"/>
    </xf>
    <xf numFmtId="165" fontId="18" fillId="0" borderId="0" xfId="20" applyFont="1">
      <alignment vertical="top"/>
    </xf>
    <xf numFmtId="169" fontId="4" fillId="0" borderId="0" xfId="26" applyFont="1">
      <alignment vertical="top"/>
    </xf>
    <xf numFmtId="166" fontId="4" fillId="9" borderId="0" xfId="18" applyNumberFormat="1" applyFont="1" applyFill="1" applyAlignment="1">
      <alignment horizontal="left"/>
    </xf>
    <xf numFmtId="165" fontId="4" fillId="7" borderId="1" xfId="17" applyFill="1">
      <alignment vertical="top"/>
    </xf>
    <xf numFmtId="180" fontId="1" fillId="9" borderId="0" xfId="20" applyNumberFormat="1" applyFont="1" applyFill="1">
      <alignment vertical="top"/>
    </xf>
    <xf numFmtId="165" fontId="27" fillId="9" borderId="0" xfId="22" applyFont="1" applyFill="1">
      <alignment vertical="top"/>
    </xf>
    <xf numFmtId="165" fontId="4" fillId="7" borderId="1" xfId="15" applyFill="1">
      <alignment vertical="top"/>
    </xf>
    <xf numFmtId="165" fontId="1" fillId="0" borderId="9" xfId="3" applyBorder="1">
      <alignment vertical="top"/>
    </xf>
    <xf numFmtId="165" fontId="30" fillId="0" borderId="0" xfId="0" applyFont="1">
      <alignment vertical="top"/>
    </xf>
    <xf numFmtId="165" fontId="31" fillId="0" borderId="0" xfId="0" applyFont="1">
      <alignment vertical="top"/>
    </xf>
    <xf numFmtId="166" fontId="7" fillId="0" borderId="0" xfId="18" applyNumberFormat="1" applyFont="1" applyFill="1" applyBorder="1">
      <alignment vertical="top"/>
    </xf>
    <xf numFmtId="169" fontId="1" fillId="0" borderId="0" xfId="26">
      <alignment vertical="top"/>
    </xf>
    <xf numFmtId="166" fontId="4" fillId="9" borderId="0" xfId="5" applyFont="1" applyFill="1" applyBorder="1">
      <alignment vertical="top"/>
    </xf>
    <xf numFmtId="165" fontId="32" fillId="4" borderId="0" xfId="18" applyFont="1" applyFill="1" applyAlignment="1">
      <alignment vertical="center"/>
    </xf>
    <xf numFmtId="168" fontId="1" fillId="9" borderId="0" xfId="12" applyFont="1" applyFill="1">
      <alignment vertical="top"/>
    </xf>
    <xf numFmtId="165" fontId="1" fillId="0" borderId="0" xfId="18" applyFont="1" applyFill="1" applyAlignment="1">
      <alignment horizontal="right" vertical="top"/>
    </xf>
    <xf numFmtId="170" fontId="1" fillId="9" borderId="0" xfId="7" applyFont="1" applyFill="1">
      <alignment vertical="top"/>
    </xf>
    <xf numFmtId="169" fontId="1" fillId="0" borderId="0" xfId="26" applyFont="1" applyFill="1">
      <alignment vertical="top"/>
    </xf>
    <xf numFmtId="165" fontId="21" fillId="0" borderId="0" xfId="18" applyFont="1" applyAlignment="1">
      <alignment horizontal="left" vertical="top"/>
    </xf>
    <xf numFmtId="165" fontId="7" fillId="0" borderId="0" xfId="20" applyFont="1" applyAlignment="1">
      <alignment vertical="top" wrapText="1"/>
    </xf>
    <xf numFmtId="165" fontId="7" fillId="9" borderId="0" xfId="18" applyFont="1" applyFill="1" applyBorder="1">
      <alignment vertical="top"/>
    </xf>
    <xf numFmtId="167" fontId="1" fillId="0" borderId="0" xfId="20" applyNumberFormat="1" applyFont="1">
      <alignment vertical="top"/>
    </xf>
    <xf numFmtId="169" fontId="2" fillId="9" borderId="0" xfId="20" applyNumberFormat="1" applyFill="1">
      <alignment vertical="top"/>
    </xf>
    <xf numFmtId="166" fontId="1" fillId="0" borderId="0" xfId="32">
      <alignment vertical="top"/>
    </xf>
    <xf numFmtId="165" fontId="1" fillId="0" borderId="0" xfId="1">
      <alignment vertical="top"/>
    </xf>
    <xf numFmtId="167" fontId="4" fillId="0" borderId="0" xfId="33">
      <alignment vertical="top"/>
    </xf>
    <xf numFmtId="165" fontId="1" fillId="0" borderId="0" xfId="22" applyFont="1">
      <alignment vertical="top"/>
    </xf>
    <xf numFmtId="165" fontId="1" fillId="4" borderId="0" xfId="18" applyFill="1">
      <alignment vertical="top"/>
    </xf>
    <xf numFmtId="165" fontId="33" fillId="4" borderId="0" xfId="18" applyFont="1" applyFill="1">
      <alignment vertical="top"/>
    </xf>
    <xf numFmtId="166" fontId="4" fillId="9" borderId="0" xfId="5" applyFont="1" applyFill="1">
      <alignment vertical="top"/>
    </xf>
    <xf numFmtId="168" fontId="7" fillId="0" borderId="0" xfId="12" applyFont="1" applyFill="1" applyBorder="1">
      <alignment vertical="top"/>
    </xf>
    <xf numFmtId="169" fontId="1" fillId="0" borderId="6" xfId="30" applyNumberFormat="1" applyBorder="1">
      <alignment vertical="top"/>
    </xf>
    <xf numFmtId="165" fontId="34" fillId="0" borderId="0" xfId="20" applyFont="1">
      <alignment vertical="top"/>
    </xf>
    <xf numFmtId="167" fontId="1" fillId="0" borderId="0" xfId="9" applyFont="1">
      <alignment vertical="top"/>
    </xf>
    <xf numFmtId="165" fontId="35" fillId="0" borderId="0" xfId="0" applyFont="1">
      <alignment vertical="top"/>
    </xf>
    <xf numFmtId="164" fontId="4" fillId="7" borderId="1" xfId="16" applyFill="1">
      <alignment vertical="top"/>
    </xf>
    <xf numFmtId="171" fontId="1" fillId="9" borderId="0" xfId="35" applyFont="1" applyFill="1">
      <alignment vertical="top"/>
    </xf>
    <xf numFmtId="169" fontId="1" fillId="0" borderId="0" xfId="0" applyNumberFormat="1" applyFont="1">
      <alignment vertical="top"/>
    </xf>
    <xf numFmtId="165" fontId="12" fillId="9" borderId="0" xfId="20" applyFont="1" applyFill="1">
      <alignment vertical="top"/>
    </xf>
    <xf numFmtId="165" fontId="4" fillId="0" borderId="0" xfId="22" applyFont="1" applyFill="1">
      <alignment vertical="top"/>
    </xf>
    <xf numFmtId="169" fontId="1" fillId="0" borderId="0" xfId="18" applyNumberFormat="1" applyFont="1">
      <alignment vertical="top"/>
    </xf>
    <xf numFmtId="165" fontId="36" fillId="0" borderId="0" xfId="20" applyFont="1">
      <alignment vertical="top"/>
    </xf>
    <xf numFmtId="165" fontId="12" fillId="0" borderId="0" xfId="20" applyFont="1">
      <alignment vertical="top"/>
    </xf>
    <xf numFmtId="172" fontId="7" fillId="0" borderId="0" xfId="9" applyNumberFormat="1" applyFont="1" applyFill="1" applyBorder="1">
      <alignment vertical="top"/>
    </xf>
    <xf numFmtId="174" fontId="37" fillId="0" borderId="0" xfId="22" applyNumberFormat="1" applyFont="1" applyAlignment="1">
      <alignment horizontal="center" vertical="center"/>
    </xf>
    <xf numFmtId="169" fontId="12" fillId="0" borderId="6" xfId="0" applyNumberFormat="1" applyFont="1" applyBorder="1">
      <alignment vertical="top"/>
    </xf>
    <xf numFmtId="169" fontId="12" fillId="0" borderId="0" xfId="20" applyNumberFormat="1" applyFont="1">
      <alignment vertical="top"/>
    </xf>
    <xf numFmtId="165" fontId="2" fillId="9" borderId="0" xfId="20" applyFill="1">
      <alignment vertical="top"/>
    </xf>
    <xf numFmtId="165" fontId="18" fillId="0" borderId="0" xfId="18" applyFont="1" applyBorder="1">
      <alignment vertical="top"/>
    </xf>
    <xf numFmtId="169" fontId="38" fillId="0" borderId="0" xfId="26" applyFont="1" applyFill="1">
      <alignment vertical="top"/>
    </xf>
    <xf numFmtId="165" fontId="4" fillId="0" borderId="0" xfId="18" applyFont="1" applyAlignment="1">
      <alignment horizontal="left" vertical="top"/>
    </xf>
    <xf numFmtId="167" fontId="1" fillId="9" borderId="0" xfId="20" applyNumberFormat="1" applyFont="1" applyFill="1">
      <alignment vertical="top"/>
    </xf>
    <xf numFmtId="165" fontId="39" fillId="0" borderId="0" xfId="0" applyFont="1">
      <alignment vertical="top"/>
    </xf>
    <xf numFmtId="169" fontId="18" fillId="0" borderId="0" xfId="26" applyFont="1" applyBorder="1">
      <alignment vertical="top"/>
    </xf>
    <xf numFmtId="167" fontId="1" fillId="9" borderId="0" xfId="9" applyFont="1" applyFill="1">
      <alignment vertical="top"/>
    </xf>
    <xf numFmtId="169" fontId="4" fillId="7" borderId="1" xfId="14" applyFill="1">
      <alignment vertical="top"/>
    </xf>
    <xf numFmtId="165" fontId="18" fillId="0" borderId="0" xfId="22" applyFont="1" applyBorder="1">
      <alignment vertical="top"/>
    </xf>
    <xf numFmtId="9" fontId="1" fillId="0" borderId="0" xfId="31">
      <alignment vertical="top"/>
    </xf>
    <xf numFmtId="166" fontId="7" fillId="9" borderId="0" xfId="18" applyNumberFormat="1" applyFont="1" applyFill="1" applyBorder="1">
      <alignment vertical="top"/>
    </xf>
    <xf numFmtId="165" fontId="4" fillId="0" borderId="0" xfId="18" applyFont="1" applyFill="1" applyAlignment="1">
      <alignment horizontal="right" vertical="top"/>
    </xf>
    <xf numFmtId="167" fontId="7" fillId="9" borderId="0" xfId="9" applyFont="1" applyFill="1">
      <alignment vertical="top"/>
    </xf>
    <xf numFmtId="165" fontId="1" fillId="0" borderId="0" xfId="22" applyFont="1" applyFill="1">
      <alignment vertical="top"/>
    </xf>
    <xf numFmtId="165" fontId="27" fillId="0" borderId="0" xfId="22" applyFont="1" applyBorder="1">
      <alignment vertical="top"/>
    </xf>
    <xf numFmtId="165" fontId="1" fillId="9" borderId="0" xfId="18" applyFont="1" applyFill="1" applyBorder="1" applyAlignment="1">
      <alignment horizontal="right" vertical="top"/>
    </xf>
    <xf numFmtId="165" fontId="1" fillId="0" borderId="0" xfId="22" applyFont="1" applyFill="1" applyBorder="1">
      <alignment vertical="top"/>
    </xf>
    <xf numFmtId="165" fontId="1" fillId="7" borderId="7" xfId="18" applyFont="1" applyFill="1" applyBorder="1" applyAlignment="1">
      <alignment horizontal="center" vertical="top" wrapText="1"/>
    </xf>
    <xf numFmtId="165" fontId="17" fillId="0" borderId="0" xfId="18" applyFont="1" applyFill="1" applyBorder="1">
      <alignment vertical="top"/>
    </xf>
    <xf numFmtId="165" fontId="21" fillId="0" borderId="0" xfId="18" applyFont="1" applyFill="1">
      <alignment vertical="top"/>
    </xf>
    <xf numFmtId="171" fontId="40" fillId="0" borderId="7" xfId="35" applyFont="1" applyFill="1" applyBorder="1" applyAlignment="1">
      <alignment horizontal="center" vertical="top"/>
    </xf>
    <xf numFmtId="166" fontId="41" fillId="0" borderId="0" xfId="18" applyNumberFormat="1" applyFont="1" applyFill="1">
      <alignment vertical="top"/>
    </xf>
    <xf numFmtId="165" fontId="23" fillId="0" borderId="0" xfId="18" applyFont="1" applyFill="1" applyBorder="1">
      <alignment vertical="top"/>
    </xf>
    <xf numFmtId="166" fontId="18" fillId="9" borderId="0" xfId="18" applyNumberFormat="1" applyFont="1" applyFill="1" applyBorder="1">
      <alignment vertical="top"/>
    </xf>
    <xf numFmtId="172" fontId="18" fillId="0" borderId="0" xfId="9" applyNumberFormat="1" applyFont="1" applyFill="1" applyBorder="1">
      <alignment vertical="top"/>
    </xf>
    <xf numFmtId="166" fontId="17" fillId="0" borderId="0" xfId="5" applyFont="1" applyFill="1">
      <alignment vertical="top"/>
    </xf>
    <xf numFmtId="166" fontId="1" fillId="0" borderId="0" xfId="18" applyNumberFormat="1" applyFont="1" applyFill="1" applyBorder="1" applyAlignment="1">
      <alignment horizontal="right" vertical="top"/>
    </xf>
    <xf numFmtId="166" fontId="1" fillId="0" borderId="0" xfId="5" applyFont="1" applyFill="1">
      <alignment vertical="top"/>
    </xf>
    <xf numFmtId="165" fontId="7" fillId="7" borderId="8" xfId="0" applyFont="1" applyFill="1" applyBorder="1" applyAlignment="1">
      <alignment horizontal="center" vertical="top"/>
    </xf>
    <xf numFmtId="165" fontId="1" fillId="9" borderId="0" xfId="18" applyFont="1" applyFill="1" applyAlignment="1">
      <alignment horizontal="right" vertical="top"/>
    </xf>
    <xf numFmtId="165" fontId="7" fillId="0" borderId="0" xfId="18" applyFont="1" applyFill="1">
      <alignment vertical="top"/>
    </xf>
    <xf numFmtId="165" fontId="1" fillId="0" borderId="5" xfId="3" applyBorder="1">
      <alignment vertical="top"/>
    </xf>
    <xf numFmtId="167" fontId="1" fillId="0" borderId="0" xfId="9" applyAlignment="1">
      <alignment horizontal="left" vertical="top"/>
    </xf>
    <xf numFmtId="165" fontId="42" fillId="0" borderId="0" xfId="0" applyFont="1">
      <alignment vertical="top"/>
    </xf>
    <xf numFmtId="169" fontId="21" fillId="0" borderId="0" xfId="26" applyFont="1">
      <alignment vertical="top"/>
    </xf>
    <xf numFmtId="165" fontId="12" fillId="0" borderId="10" xfId="0" applyFont="1" applyBorder="1" applyAlignment="1">
      <alignment horizontal="center" vertical="top"/>
    </xf>
    <xf numFmtId="169" fontId="4" fillId="0" borderId="0" xfId="26" applyFont="1" applyFill="1">
      <alignment vertical="top"/>
    </xf>
    <xf numFmtId="165" fontId="43" fillId="4" borderId="0" xfId="18" applyFont="1" applyFill="1">
      <alignment vertical="top"/>
    </xf>
    <xf numFmtId="165" fontId="44" fillId="0" borderId="0" xfId="0" applyFont="1">
      <alignment vertical="top"/>
    </xf>
    <xf numFmtId="167" fontId="18" fillId="0" borderId="0" xfId="9" applyFont="1">
      <alignment vertical="top"/>
    </xf>
    <xf numFmtId="166" fontId="1" fillId="9" borderId="0" xfId="18" applyNumberFormat="1" applyFont="1" applyFill="1" applyBorder="1" applyAlignment="1">
      <alignment horizontal="right" vertical="top"/>
    </xf>
    <xf numFmtId="165" fontId="7" fillId="0" borderId="11" xfId="18" applyFont="1" applyBorder="1">
      <alignment vertical="top"/>
    </xf>
    <xf numFmtId="171" fontId="1" fillId="0" borderId="0" xfId="35" applyFont="1" applyAlignment="1">
      <alignment horizontal="center" vertical="top"/>
    </xf>
    <xf numFmtId="165" fontId="18" fillId="0" borderId="0" xfId="20" applyFont="1" applyAlignment="1">
      <alignment vertical="top" wrapText="1"/>
    </xf>
    <xf numFmtId="168" fontId="38" fillId="0" borderId="0" xfId="12" applyFont="1" applyFill="1">
      <alignment vertical="top"/>
    </xf>
    <xf numFmtId="165" fontId="0" fillId="0" borderId="3" xfId="0" applyBorder="1">
      <alignment vertical="top"/>
    </xf>
    <xf numFmtId="165" fontId="14" fillId="0" borderId="0" xfId="18" applyFont="1" applyFill="1">
      <alignment vertical="top"/>
    </xf>
    <xf numFmtId="165" fontId="7" fillId="7" borderId="7" xfId="0" applyFont="1" applyFill="1" applyBorder="1" applyAlignment="1">
      <alignment horizontal="center" vertical="top"/>
    </xf>
    <xf numFmtId="165" fontId="45" fillId="0" borderId="0" xfId="22" applyFont="1" applyBorder="1">
      <alignment vertical="top"/>
    </xf>
    <xf numFmtId="165" fontId="18" fillId="9" borderId="0" xfId="18" applyFont="1" applyFill="1" applyBorder="1">
      <alignment vertical="top"/>
    </xf>
    <xf numFmtId="166" fontId="20" fillId="0" borderId="0" xfId="18" applyNumberFormat="1" applyFont="1" applyBorder="1" applyAlignment="1">
      <alignment horizontal="left" vertical="top"/>
    </xf>
    <xf numFmtId="167" fontId="1" fillId="0" borderId="0" xfId="9" applyFont="1" applyBorder="1">
      <alignment vertical="top"/>
    </xf>
    <xf numFmtId="172" fontId="4" fillId="0" borderId="0" xfId="9" applyNumberFormat="1" applyFont="1">
      <alignment vertical="top"/>
    </xf>
    <xf numFmtId="165" fontId="36" fillId="0" borderId="0" xfId="20" applyFont="1" applyAlignment="1">
      <alignment horizontal="left" vertical="top"/>
    </xf>
    <xf numFmtId="165" fontId="27" fillId="11" borderId="7" xfId="22" applyFont="1" applyFill="1" applyBorder="1">
      <alignment vertical="top"/>
    </xf>
    <xf numFmtId="165" fontId="7" fillId="0" borderId="10" xfId="0" applyFont="1" applyBorder="1" applyAlignment="1">
      <alignment horizontal="center" vertical="center"/>
    </xf>
    <xf numFmtId="165" fontId="46" fillId="0" borderId="0" xfId="20" applyFont="1">
      <alignment vertical="top"/>
    </xf>
    <xf numFmtId="171" fontId="26" fillId="0" borderId="0" xfId="35" applyFont="1" applyAlignment="1">
      <alignment horizontal="center" vertical="top"/>
    </xf>
    <xf numFmtId="165" fontId="4" fillId="9" borderId="0" xfId="22" applyFont="1" applyFill="1">
      <alignment vertical="top"/>
    </xf>
    <xf numFmtId="165" fontId="1" fillId="0" borderId="0" xfId="20" applyFont="1" applyAlignment="1">
      <alignment horizontal="left" vertical="top" wrapText="1"/>
    </xf>
    <xf numFmtId="165" fontId="1" fillId="0" borderId="0" xfId="22" applyFill="1">
      <alignment vertical="top"/>
    </xf>
    <xf numFmtId="167" fontId="7" fillId="0" borderId="0" xfId="20" applyNumberFormat="1" applyFont="1">
      <alignment vertical="top"/>
    </xf>
    <xf numFmtId="167" fontId="1" fillId="0" borderId="10" xfId="9" applyFill="1" applyBorder="1" applyAlignment="1">
      <alignment horizontal="center" vertical="top"/>
    </xf>
    <xf numFmtId="165" fontId="1" fillId="9" borderId="0" xfId="22" applyFont="1" applyFill="1">
      <alignment vertical="top"/>
    </xf>
    <xf numFmtId="166" fontId="7" fillId="0" borderId="0" xfId="5" applyFont="1">
      <alignment vertical="top"/>
    </xf>
    <xf numFmtId="172" fontId="4" fillId="0" borderId="7" xfId="9" applyNumberFormat="1" applyFont="1" applyFill="1" applyBorder="1" applyAlignment="1">
      <alignment horizontal="right" vertical="top"/>
    </xf>
    <xf numFmtId="172" fontId="1" fillId="0" borderId="0" xfId="9" applyNumberFormat="1" applyFont="1" applyFill="1" applyBorder="1">
      <alignment vertical="top"/>
    </xf>
    <xf numFmtId="169" fontId="1" fillId="0" borderId="6" xfId="0" applyNumberFormat="1" applyFont="1" applyBorder="1">
      <alignment vertical="top"/>
    </xf>
    <xf numFmtId="165" fontId="5" fillId="0" borderId="0" xfId="0" applyFont="1" applyAlignment="1">
      <alignment horizontal="left" vertical="top" indent="4"/>
    </xf>
    <xf numFmtId="165" fontId="4" fillId="0" borderId="7" xfId="18" applyFont="1" applyFill="1" applyBorder="1" applyAlignment="1">
      <alignment horizontal="right" vertical="top"/>
    </xf>
    <xf numFmtId="164" fontId="1" fillId="0" borderId="0" xfId="0" applyNumberFormat="1" applyFont="1">
      <alignment vertical="top"/>
    </xf>
    <xf numFmtId="165" fontId="4" fillId="9" borderId="0" xfId="18" applyFont="1" applyFill="1">
      <alignment vertical="top"/>
    </xf>
    <xf numFmtId="167" fontId="4" fillId="0" borderId="0" xfId="9" applyFont="1">
      <alignment vertical="top"/>
    </xf>
    <xf numFmtId="165" fontId="4" fillId="11" borderId="7" xfId="0" applyFont="1" applyFill="1" applyBorder="1" applyAlignment="1">
      <alignment horizontal="center" vertical="top"/>
    </xf>
    <xf numFmtId="165" fontId="47" fillId="4" borderId="0" xfId="18" applyFont="1" applyFill="1">
      <alignment vertical="top"/>
    </xf>
    <xf numFmtId="169" fontId="2" fillId="0" borderId="0" xfId="20" applyNumberFormat="1">
      <alignment vertical="top"/>
    </xf>
    <xf numFmtId="168" fontId="0" fillId="0" borderId="0" xfId="12" applyFont="1">
      <alignment vertical="top"/>
    </xf>
    <xf numFmtId="173" fontId="1" fillId="0" borderId="7" xfId="18" applyNumberFormat="1" applyFont="1" applyFill="1" applyBorder="1" applyAlignment="1">
      <alignment horizontal="center" vertical="top"/>
    </xf>
    <xf numFmtId="165" fontId="48" fillId="0" borderId="0" xfId="18" applyFont="1" applyFill="1">
      <alignment vertical="top"/>
    </xf>
    <xf numFmtId="169" fontId="1" fillId="0" borderId="9" xfId="2" applyBorder="1">
      <alignment vertical="top"/>
    </xf>
    <xf numFmtId="169" fontId="4" fillId="0" borderId="0" xfId="26" applyFont="1" applyBorder="1">
      <alignment vertical="top"/>
    </xf>
    <xf numFmtId="165" fontId="49" fillId="0" borderId="0" xfId="20" applyFont="1">
      <alignment vertical="top"/>
    </xf>
    <xf numFmtId="165" fontId="0" fillId="0" borderId="2" xfId="28" applyFont="1">
      <alignment vertical="top"/>
    </xf>
    <xf numFmtId="165" fontId="50" fillId="0" borderId="0" xfId="22" applyFont="1" applyBorder="1">
      <alignment vertical="top"/>
    </xf>
    <xf numFmtId="166" fontId="18" fillId="0" borderId="0" xfId="18" applyNumberFormat="1" applyFont="1" applyFill="1" applyBorder="1">
      <alignment vertical="top"/>
    </xf>
    <xf numFmtId="169" fontId="4" fillId="9" borderId="0" xfId="26" applyFont="1" applyFill="1">
      <alignment vertical="top"/>
    </xf>
    <xf numFmtId="165" fontId="21" fillId="0" borderId="0" xfId="18" applyFont="1" applyBorder="1" applyAlignment="1">
      <alignment horizontal="right" vertical="top"/>
    </xf>
    <xf numFmtId="166" fontId="4" fillId="9" borderId="0" xfId="18" applyNumberFormat="1" applyFont="1" applyFill="1" applyAlignment="1">
      <alignment horizontal="right"/>
    </xf>
    <xf numFmtId="176" fontId="1" fillId="0" borderId="0" xfId="26" applyNumberFormat="1" applyFont="1" applyFill="1">
      <alignment vertical="top"/>
    </xf>
    <xf numFmtId="167" fontId="1" fillId="0" borderId="9" xfId="4" applyBorder="1">
      <alignment vertical="top"/>
    </xf>
    <xf numFmtId="165" fontId="7" fillId="9" borderId="0" xfId="18" applyFont="1" applyFill="1">
      <alignment vertical="top"/>
    </xf>
    <xf numFmtId="165" fontId="1" fillId="9" borderId="0" xfId="22" applyFill="1">
      <alignment vertical="top"/>
    </xf>
    <xf numFmtId="169" fontId="1" fillId="0" borderId="0" xfId="26" applyFont="1">
      <alignment vertical="top"/>
    </xf>
    <xf numFmtId="165" fontId="4" fillId="0" borderId="0" xfId="22" applyFont="1" applyBorder="1">
      <alignment vertical="top"/>
    </xf>
    <xf numFmtId="168" fontId="1" fillId="0" borderId="0" xfId="12">
      <alignment vertical="top"/>
    </xf>
    <xf numFmtId="166" fontId="1" fillId="0" borderId="0" xfId="18" applyNumberFormat="1" applyFont="1" applyFill="1" applyBorder="1">
      <alignment vertical="top"/>
    </xf>
    <xf numFmtId="165" fontId="51" fillId="0" borderId="0" xfId="0" applyFont="1">
      <alignment vertical="top"/>
    </xf>
    <xf numFmtId="175" fontId="38" fillId="0" borderId="0" xfId="18" applyNumberFormat="1" applyFont="1" applyFill="1">
      <alignment vertical="top"/>
    </xf>
    <xf numFmtId="165" fontId="14" fillId="9" borderId="0" xfId="18" applyFont="1" applyFill="1">
      <alignment vertical="top"/>
    </xf>
    <xf numFmtId="165" fontId="21" fillId="0" borderId="0" xfId="22" applyFont="1">
      <alignment vertical="top"/>
    </xf>
  </cellXfs>
  <cellStyles count="36">
    <cellStyle name="Calcs" xfId="1" xr:uid="{00000000-0005-0000-0000-000000000000}"/>
    <cellStyle name="Calcs%" xfId="2" xr:uid="{00000000-0005-0000-0000-000001000000}"/>
    <cellStyle name="CalcsCurrency" xfId="3" xr:uid="{00000000-0005-0000-0000-000002000000}"/>
    <cellStyle name="CalcsDate" xfId="4" xr:uid="{00000000-0005-0000-0000-000003000000}"/>
    <cellStyle name="Comma 2" xfId="5" xr:uid="{00000000-0005-0000-0000-000004000000}"/>
    <cellStyle name="DateLong" xfId="6" xr:uid="{00000000-0005-0000-0000-000005000000}"/>
    <cellStyle name="DateLong 2" xfId="7" xr:uid="{00000000-0005-0000-0000-000006000000}"/>
    <cellStyle name="DateShort" xfId="8" xr:uid="{00000000-0005-0000-0000-000007000000}"/>
    <cellStyle name="DateShort 2" xfId="9" xr:uid="{00000000-0005-0000-0000-000008000000}"/>
    <cellStyle name="Factor" xfId="10" xr:uid="{00000000-0005-0000-0000-000009000000}"/>
    <cellStyle name="Factor 2" xfId="11" xr:uid="{00000000-0005-0000-0000-00000A000000}"/>
    <cellStyle name="Factor 3" xfId="12" xr:uid="{00000000-0005-0000-0000-00000B000000}"/>
    <cellStyle name="Hyperlink" xfId="13" builtinId="8"/>
    <cellStyle name="Input%" xfId="14" xr:uid="{00000000-0005-0000-0000-00000D000000}"/>
    <cellStyle name="InputCurrency" xfId="15" xr:uid="{00000000-0005-0000-0000-00000E000000}"/>
    <cellStyle name="InputDate" xfId="16" xr:uid="{00000000-0005-0000-0000-00000F000000}"/>
    <cellStyle name="InputStyle" xfId="17" xr:uid="{00000000-0005-0000-0000-000010000000}"/>
    <cellStyle name="Normal" xfId="0" builtinId="0" customBuiltin="1"/>
    <cellStyle name="Normal 2" xfId="18" xr:uid="{00000000-0005-0000-0000-000012000000}"/>
    <cellStyle name="Normal 3" xfId="19" xr:uid="{00000000-0005-0000-0000-000013000000}"/>
    <cellStyle name="Normal 4" xfId="20" xr:uid="{00000000-0005-0000-0000-000014000000}"/>
    <cellStyle name="Normal 5" xfId="21" xr:uid="{00000000-0005-0000-0000-000015000000}"/>
    <cellStyle name="Normal 6" xfId="22" xr:uid="{00000000-0005-0000-0000-000016000000}"/>
    <cellStyle name="Percent" xfId="23" builtinId="5" customBuiltin="1"/>
    <cellStyle name="Percent 2" xfId="24" xr:uid="{00000000-0005-0000-0000-000018000000}"/>
    <cellStyle name="Percent 3" xfId="25" xr:uid="{00000000-0005-0000-0000-000019000000}"/>
    <cellStyle name="Percent 4" xfId="26" xr:uid="{00000000-0005-0000-0000-00001A000000}"/>
    <cellStyle name="Report Indent" xfId="27" xr:uid="{00000000-0005-0000-0000-00001B000000}"/>
    <cellStyle name="ReportSubTotal" xfId="28" xr:uid="{00000000-0005-0000-0000-00001C000000}"/>
    <cellStyle name="ReportTotal" xfId="29" xr:uid="{00000000-0005-0000-0000-00001D000000}"/>
    <cellStyle name="Result" xfId="30" xr:uid="{00000000-0005-0000-0000-00001E000000}"/>
    <cellStyle name="Result%" xfId="31" xr:uid="{00000000-0005-0000-0000-00001F000000}"/>
    <cellStyle name="ResultCurrency" xfId="32" xr:uid="{00000000-0005-0000-0000-000020000000}"/>
    <cellStyle name="ResultDate" xfId="33" xr:uid="{00000000-0005-0000-0000-000021000000}"/>
    <cellStyle name="Year" xfId="34" xr:uid="{00000000-0005-0000-0000-000022000000}"/>
    <cellStyle name="Year 2" xfId="35" xr:uid="{00000000-0005-0000-0000-000023000000}"/>
  </cellStyles>
  <dxfs count="101">
    <dxf>
      <font>
        <color rgb="FFFFCC00"/>
      </font>
    </dxf>
    <dxf>
      <fill>
        <patternFill>
          <bgColor indexed="44"/>
        </patternFill>
      </fill>
    </dxf>
    <dxf>
      <fill>
        <patternFill>
          <bgColor indexed="47"/>
        </patternFill>
      </fill>
    </dxf>
    <dxf>
      <fill>
        <patternFill>
          <bgColor theme="7" tint="0.39994506668294322"/>
        </patternFill>
      </fill>
    </dxf>
    <dxf>
      <fill>
        <patternFill>
          <bgColor theme="9" tint="-0.24991607409894101"/>
        </patternFill>
      </fill>
    </dxf>
    <dxf>
      <fill>
        <patternFill>
          <bgColor theme="8"/>
        </patternFill>
      </fill>
    </dxf>
    <dxf>
      <fill>
        <patternFill>
          <bgColor indexed="51"/>
        </patternFill>
      </fill>
    </dxf>
    <dxf>
      <fill>
        <patternFill>
          <bgColor indexed="51"/>
        </patternFill>
      </fill>
    </dxf>
    <dxf>
      <fill>
        <patternFill>
          <bgColor indexed="44"/>
        </patternFill>
      </fill>
    </dxf>
    <dxf>
      <fill>
        <patternFill>
          <bgColor indexed="47"/>
        </patternFill>
      </fill>
    </dxf>
    <dxf>
      <fill>
        <patternFill>
          <bgColor theme="7" tint="0.39994506668294322"/>
        </patternFill>
      </fill>
    </dxf>
    <dxf>
      <fill>
        <patternFill>
          <bgColor theme="9" tint="-0.24991607409894101"/>
        </patternFill>
      </fill>
    </dxf>
    <dxf>
      <fill>
        <patternFill>
          <bgColor theme="8"/>
        </patternFill>
      </fill>
    </dxf>
    <dxf>
      <fill>
        <patternFill>
          <bgColor indexed="51"/>
        </patternFill>
      </fill>
    </dxf>
    <dxf>
      <fill>
        <patternFill>
          <bgColor indexed="51"/>
        </patternFill>
      </fill>
    </dxf>
    <dxf>
      <fill>
        <patternFill>
          <bgColor indexed="44"/>
        </patternFill>
      </fill>
    </dxf>
    <dxf>
      <fill>
        <patternFill>
          <bgColor indexed="47"/>
        </patternFill>
      </fill>
    </dxf>
    <dxf>
      <fill>
        <patternFill>
          <bgColor theme="7" tint="0.39994506668294322"/>
        </patternFill>
      </fill>
    </dxf>
    <dxf>
      <fill>
        <patternFill>
          <bgColor theme="9" tint="-0.24991607409894101"/>
        </patternFill>
      </fill>
    </dxf>
    <dxf>
      <fill>
        <patternFill>
          <bgColor theme="8"/>
        </patternFill>
      </fill>
    </dxf>
    <dxf>
      <fill>
        <patternFill>
          <bgColor indexed="51"/>
        </patternFill>
      </fill>
    </dxf>
    <dxf>
      <fill>
        <patternFill>
          <bgColor indexed="51"/>
        </patternFill>
      </fill>
    </dxf>
    <dxf>
      <fill>
        <patternFill>
          <bgColor indexed="44"/>
        </patternFill>
      </fill>
    </dxf>
    <dxf>
      <fill>
        <patternFill>
          <bgColor indexed="47"/>
        </patternFill>
      </fill>
    </dxf>
    <dxf>
      <fill>
        <patternFill>
          <bgColor theme="7" tint="0.39994506668294322"/>
        </patternFill>
      </fill>
    </dxf>
    <dxf>
      <fill>
        <patternFill>
          <bgColor theme="9" tint="-0.24991607409894101"/>
        </patternFill>
      </fill>
    </dxf>
    <dxf>
      <fill>
        <patternFill>
          <bgColor theme="8"/>
        </patternFill>
      </fill>
    </dxf>
    <dxf>
      <fill>
        <patternFill>
          <bgColor indexed="51"/>
        </patternFill>
      </fill>
    </dxf>
    <dxf>
      <fill>
        <patternFill>
          <bgColor indexed="51"/>
        </patternFill>
      </fill>
    </dxf>
    <dxf>
      <fill>
        <patternFill>
          <bgColor indexed="44"/>
        </patternFill>
      </fill>
    </dxf>
    <dxf>
      <fill>
        <patternFill>
          <bgColor indexed="47"/>
        </patternFill>
      </fill>
    </dxf>
    <dxf>
      <fill>
        <patternFill>
          <bgColor theme="7" tint="0.39994506668294322"/>
        </patternFill>
      </fill>
    </dxf>
    <dxf>
      <fill>
        <patternFill>
          <bgColor theme="9" tint="-0.24991607409894101"/>
        </patternFill>
      </fill>
    </dxf>
    <dxf>
      <fill>
        <patternFill>
          <bgColor theme="8"/>
        </patternFill>
      </fill>
    </dxf>
    <dxf>
      <fill>
        <patternFill>
          <bgColor indexed="51"/>
        </patternFill>
      </fill>
    </dxf>
    <dxf>
      <fill>
        <patternFill>
          <bgColor indexed="51"/>
        </patternFill>
      </fill>
    </dxf>
    <dxf>
      <fill>
        <patternFill>
          <bgColor indexed="44"/>
        </patternFill>
      </fill>
    </dxf>
    <dxf>
      <fill>
        <patternFill>
          <bgColor indexed="47"/>
        </patternFill>
      </fill>
    </dxf>
    <dxf>
      <fill>
        <patternFill>
          <bgColor theme="7" tint="0.39994506668294322"/>
        </patternFill>
      </fill>
    </dxf>
    <dxf>
      <fill>
        <patternFill>
          <bgColor theme="9" tint="-0.24991607409894101"/>
        </patternFill>
      </fill>
    </dxf>
    <dxf>
      <fill>
        <patternFill>
          <bgColor theme="8"/>
        </patternFill>
      </fill>
    </dxf>
    <dxf>
      <fill>
        <patternFill>
          <bgColor indexed="51"/>
        </patternFill>
      </fill>
    </dxf>
    <dxf>
      <fill>
        <patternFill>
          <bgColor indexed="51"/>
        </patternFill>
      </fill>
    </dxf>
    <dxf>
      <fill>
        <patternFill>
          <bgColor indexed="44"/>
        </patternFill>
      </fill>
    </dxf>
    <dxf>
      <fill>
        <patternFill>
          <bgColor indexed="47"/>
        </patternFill>
      </fill>
    </dxf>
    <dxf>
      <fill>
        <patternFill>
          <bgColor theme="7" tint="0.39994506668294322"/>
        </patternFill>
      </fill>
    </dxf>
    <dxf>
      <fill>
        <patternFill>
          <bgColor theme="9" tint="-0.24991607409894101"/>
        </patternFill>
      </fill>
    </dxf>
    <dxf>
      <fill>
        <patternFill>
          <bgColor theme="8"/>
        </patternFill>
      </fill>
    </dxf>
    <dxf>
      <fill>
        <patternFill>
          <bgColor indexed="51"/>
        </patternFill>
      </fill>
    </dxf>
    <dxf>
      <fill>
        <patternFill>
          <bgColor indexed="51"/>
        </patternFill>
      </fill>
    </dxf>
    <dxf>
      <fill>
        <patternFill>
          <bgColor indexed="44"/>
        </patternFill>
      </fill>
    </dxf>
    <dxf>
      <fill>
        <patternFill>
          <bgColor indexed="47"/>
        </patternFill>
      </fill>
    </dxf>
    <dxf>
      <fill>
        <patternFill>
          <bgColor theme="7" tint="0.39994506668294322"/>
        </patternFill>
      </fill>
    </dxf>
    <dxf>
      <fill>
        <patternFill>
          <bgColor theme="9" tint="-0.24991607409894101"/>
        </patternFill>
      </fill>
    </dxf>
    <dxf>
      <fill>
        <patternFill>
          <bgColor theme="8"/>
        </patternFill>
      </fill>
    </dxf>
    <dxf>
      <fill>
        <patternFill>
          <bgColor indexed="51"/>
        </patternFill>
      </fill>
    </dxf>
    <dxf>
      <fill>
        <patternFill>
          <bgColor indexed="51"/>
        </patternFill>
      </fill>
    </dxf>
    <dxf>
      <fill>
        <patternFill>
          <bgColor indexed="44"/>
        </patternFill>
      </fill>
    </dxf>
    <dxf>
      <fill>
        <patternFill>
          <bgColor indexed="47"/>
        </patternFill>
      </fill>
    </dxf>
    <dxf>
      <fill>
        <patternFill>
          <bgColor theme="7" tint="0.39994506668294322"/>
        </patternFill>
      </fill>
    </dxf>
    <dxf>
      <fill>
        <patternFill>
          <bgColor theme="9" tint="-0.24991607409894101"/>
        </patternFill>
      </fill>
    </dxf>
    <dxf>
      <fill>
        <patternFill>
          <bgColor theme="8"/>
        </patternFill>
      </fill>
    </dxf>
    <dxf>
      <fill>
        <patternFill>
          <bgColor indexed="51"/>
        </patternFill>
      </fill>
    </dxf>
    <dxf>
      <fill>
        <patternFill>
          <bgColor indexed="51"/>
        </patternFill>
      </fill>
    </dxf>
    <dxf>
      <fill>
        <patternFill>
          <bgColor indexed="44"/>
        </patternFill>
      </fill>
    </dxf>
    <dxf>
      <fill>
        <patternFill>
          <bgColor indexed="47"/>
        </patternFill>
      </fill>
    </dxf>
    <dxf>
      <fill>
        <patternFill>
          <bgColor theme="7" tint="0.39994506668294322"/>
        </patternFill>
      </fill>
    </dxf>
    <dxf>
      <fill>
        <patternFill>
          <bgColor theme="9" tint="-0.24991607409894101"/>
        </patternFill>
      </fill>
    </dxf>
    <dxf>
      <fill>
        <patternFill>
          <bgColor theme="8"/>
        </patternFill>
      </fill>
    </dxf>
    <dxf>
      <fill>
        <patternFill>
          <bgColor indexed="51"/>
        </patternFill>
      </fill>
    </dxf>
    <dxf>
      <fill>
        <patternFill>
          <bgColor indexed="51"/>
        </patternFill>
      </fill>
    </dxf>
    <dxf>
      <fill>
        <patternFill>
          <bgColor indexed="44"/>
        </patternFill>
      </fill>
    </dxf>
    <dxf>
      <fill>
        <patternFill>
          <bgColor indexed="47"/>
        </patternFill>
      </fill>
    </dxf>
    <dxf>
      <fill>
        <patternFill>
          <bgColor theme="7" tint="0.39994506668294322"/>
        </patternFill>
      </fill>
    </dxf>
    <dxf>
      <fill>
        <patternFill>
          <bgColor theme="9" tint="-0.24991607409894101"/>
        </patternFill>
      </fill>
    </dxf>
    <dxf>
      <fill>
        <patternFill>
          <bgColor theme="8"/>
        </patternFill>
      </fill>
    </dxf>
    <dxf>
      <fill>
        <patternFill>
          <bgColor indexed="51"/>
        </patternFill>
      </fill>
    </dxf>
    <dxf>
      <fill>
        <patternFill>
          <bgColor indexed="51"/>
        </patternFill>
      </fill>
    </dxf>
    <dxf>
      <fill>
        <patternFill>
          <bgColor indexed="44"/>
        </patternFill>
      </fill>
    </dxf>
    <dxf>
      <fill>
        <patternFill>
          <bgColor indexed="47"/>
        </patternFill>
      </fill>
    </dxf>
    <dxf>
      <fill>
        <patternFill>
          <bgColor theme="7" tint="0.39994506668294322"/>
        </patternFill>
      </fill>
    </dxf>
    <dxf>
      <fill>
        <patternFill>
          <bgColor theme="9" tint="-0.24991607409894101"/>
        </patternFill>
      </fill>
    </dxf>
    <dxf>
      <fill>
        <patternFill>
          <bgColor theme="8"/>
        </patternFill>
      </fill>
    </dxf>
    <dxf>
      <fill>
        <patternFill>
          <bgColor indexed="51"/>
        </patternFill>
      </fill>
    </dxf>
    <dxf>
      <fill>
        <patternFill>
          <bgColor indexed="51"/>
        </patternFill>
      </fill>
    </dxf>
    <dxf>
      <fill>
        <patternFill>
          <bgColor indexed="44"/>
        </patternFill>
      </fill>
    </dxf>
    <dxf>
      <fill>
        <patternFill>
          <bgColor indexed="47"/>
        </patternFill>
      </fill>
    </dxf>
    <dxf>
      <fill>
        <patternFill>
          <bgColor theme="7" tint="0.39994506668294322"/>
        </patternFill>
      </fill>
    </dxf>
    <dxf>
      <fill>
        <patternFill>
          <bgColor theme="9" tint="-0.24991607409894101"/>
        </patternFill>
      </fill>
    </dxf>
    <dxf>
      <fill>
        <patternFill>
          <bgColor theme="8"/>
        </patternFill>
      </fill>
    </dxf>
    <dxf>
      <fill>
        <patternFill>
          <bgColor indexed="51"/>
        </patternFill>
      </fill>
    </dxf>
    <dxf>
      <fill>
        <patternFill>
          <bgColor indexed="51"/>
        </patternFill>
      </fill>
    </dxf>
    <dxf>
      <fill>
        <patternFill>
          <bgColor indexed="44"/>
        </patternFill>
      </fill>
    </dxf>
    <dxf>
      <fill>
        <patternFill>
          <bgColor indexed="47"/>
        </patternFill>
      </fill>
    </dxf>
    <dxf>
      <fill>
        <patternFill>
          <bgColor theme="7" tint="0.39994506668294322"/>
        </patternFill>
      </fill>
    </dxf>
    <dxf>
      <fill>
        <patternFill>
          <bgColor theme="9" tint="-0.24991607409894101"/>
        </patternFill>
      </fill>
    </dxf>
    <dxf>
      <fill>
        <patternFill>
          <bgColor theme="8"/>
        </patternFill>
      </fill>
    </dxf>
    <dxf>
      <fill>
        <patternFill>
          <bgColor indexed="51"/>
        </patternFill>
      </fill>
    </dxf>
    <dxf>
      <fill>
        <patternFill>
          <bgColor indexed="51"/>
        </patternFill>
      </fill>
    </dxf>
    <dxf>
      <fill>
        <patternFill>
          <bgColor theme="0"/>
        </patternFill>
      </fill>
    </dxf>
    <dxf>
      <font>
        <color rgb="FFFFCC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638175</xdr:colOff>
      <xdr:row>15</xdr:row>
      <xdr:rowOff>28575</xdr:rowOff>
    </xdr:from>
    <xdr:to>
      <xdr:col>8</xdr:col>
      <xdr:colOff>531050</xdr:colOff>
      <xdr:row>34</xdr:row>
      <xdr:rowOff>156129</xdr:rowOff>
    </xdr:to>
    <xdr:sp macro="" textlink="">
      <xdr:nvSpPr>
        <xdr:cNvPr id="2" name="TextBox 2">
          <a:extLst>
            <a:ext uri="{FF2B5EF4-FFF2-40B4-BE49-F238E27FC236}">
              <a16:creationId xmlns:a16="http://schemas.microsoft.com/office/drawing/2014/main" id="{00000000-0008-0000-0000-000002000000}"/>
            </a:ext>
          </a:extLst>
        </xdr:cNvPr>
        <xdr:cNvSpPr txBox="1"/>
      </xdr:nvSpPr>
      <xdr:spPr>
        <a:xfrm>
          <a:off x="638175" y="2734945"/>
          <a:ext cx="9350084" cy="3264454"/>
        </a:xfrm>
        <a:prstGeom prst="rect">
          <a:avLst/>
        </a:prstGeom>
        <a:noFill/>
        <a:ln>
          <a:noFill/>
        </a:ln>
      </xdr:spPr>
      <xdr:txBody>
        <a:bodyPr lIns="27432" tIns="22860" rIns="0" bIns="0" rtlCol="0"/>
        <a:lstStyle/>
        <a:p>
          <a:pPr algn="l"/>
          <a:r>
            <a:rPr lang="en-US" sz="1000" b="1">
              <a:solidFill>
                <a:srgbClr val="000000"/>
              </a:solidFill>
              <a:latin typeface="Circular Pro Book"/>
            </a:rPr>
            <a:t>Disclaimer</a:t>
          </a:r>
        </a:p>
        <a:p>
          <a:pPr algn="l"/>
          <a:endParaRPr lang="en-US" sz="900">
            <a:solidFill>
              <a:srgbClr val="000000"/>
            </a:solidFill>
            <a:latin typeface="Circular Pro Book"/>
          </a:endParaRPr>
        </a:p>
        <a:p>
          <a:pPr algn="l"/>
          <a:r>
            <a:rPr lang="en-US" sz="900">
              <a:solidFill>
                <a:srgbClr val="000000"/>
              </a:solidFill>
              <a:latin typeface="Circular Pro Book"/>
            </a:rPr>
            <a:t>This Financial Model (‘the Model’) has been constructed for a specific purpose and is not intended for distribution to third parties. Third parties who obtain copies of the Model should be aware of the following:</a:t>
          </a:r>
        </a:p>
        <a:p>
          <a:pPr algn="l"/>
          <a:endParaRPr lang="en-US" sz="900">
            <a:solidFill>
              <a:srgbClr val="000000"/>
            </a:solidFill>
            <a:latin typeface="Circular Pro Book"/>
          </a:endParaRPr>
        </a:p>
        <a:p>
          <a:pPr algn="l"/>
          <a:r>
            <a:rPr lang="en-US" sz="900">
              <a:solidFill>
                <a:srgbClr val="000000"/>
              </a:solidFill>
              <a:latin typeface="Circular Pro Book"/>
            </a:rPr>
            <a:t>-  the Model may not be suitable for purposes, other than the specific purpose for which it was designed, and the interests of third parties may not have been anticipated;</a:t>
          </a:r>
        </a:p>
        <a:p>
          <a:pPr algn="l"/>
          <a:endParaRPr lang="en-US" sz="900">
            <a:solidFill>
              <a:srgbClr val="000000"/>
            </a:solidFill>
            <a:latin typeface="Circular Pro Book"/>
          </a:endParaRPr>
        </a:p>
        <a:p>
          <a:pPr algn="l"/>
          <a:r>
            <a:rPr lang="en-US" sz="900">
              <a:solidFill>
                <a:srgbClr val="000000"/>
              </a:solidFill>
              <a:latin typeface="Circular Pro Book"/>
            </a:rPr>
            <a:t>-  the Model was not intended for use by third parties and may not be designed so that it can be readily operated in a correct manner by such parties;</a:t>
          </a:r>
        </a:p>
        <a:p>
          <a:pPr algn="l"/>
          <a:endParaRPr lang="en-US" sz="900">
            <a:solidFill>
              <a:srgbClr val="000000"/>
            </a:solidFill>
            <a:latin typeface="Circular Pro Book"/>
          </a:endParaRPr>
        </a:p>
        <a:p>
          <a:pPr algn="l"/>
          <a:r>
            <a:rPr lang="en-US" sz="900">
              <a:solidFill>
                <a:srgbClr val="000000"/>
              </a:solidFill>
              <a:latin typeface="Circular Pro Book"/>
            </a:rPr>
            <a:t>-  the Model may be development version and may not be complete or, in the event that development of the Model has concluded, material events may have occurred since completion, which are not reflected in the Model;</a:t>
          </a:r>
        </a:p>
        <a:p>
          <a:pPr algn="l"/>
          <a:endParaRPr lang="en-US" sz="900">
            <a:solidFill>
              <a:srgbClr val="000000"/>
            </a:solidFill>
            <a:latin typeface="Circular Pro Book"/>
          </a:endParaRPr>
        </a:p>
        <a:p>
          <a:pPr algn="l"/>
          <a:r>
            <a:rPr lang="en-US" sz="900">
              <a:solidFill>
                <a:srgbClr val="000000"/>
              </a:solidFill>
              <a:latin typeface="Circular Pro Book"/>
            </a:rPr>
            <a:t>-  the Model may not have been subject to independent testing and where it has been tested, this may not provide an appropriate degree of assurance for all possible uses of the Model.</a:t>
          </a:r>
        </a:p>
        <a:p>
          <a:pPr algn="l"/>
          <a:endParaRPr lang="en-US" sz="900">
            <a:solidFill>
              <a:srgbClr val="000000"/>
            </a:solidFill>
            <a:latin typeface="Circular Pro Book"/>
          </a:endParaRPr>
        </a:p>
        <a:p>
          <a:pPr algn="l"/>
          <a:r>
            <a:rPr lang="en-US" sz="900">
              <a:solidFill>
                <a:srgbClr val="000000"/>
              </a:solidFill>
              <a:latin typeface="Circular Pro Book"/>
            </a:rPr>
            <a:t>Accordingly, third party recipients of this Model use it entirely at their own risk and, in the absence of express written consent, no responsibility is taken or accepted for any losses which may result therefrom, including direct or indirect consequences of computer viruses.</a:t>
          </a:r>
        </a:p>
        <a:p>
          <a:pPr algn="l"/>
          <a:endParaRPr lang="en-US" sz="900" i="1">
            <a:solidFill>
              <a:srgbClr val="000000"/>
            </a:solidFill>
            <a:latin typeface="Arial"/>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customProperty" Target="../customProperty1.bin"/></Relationships>
</file>

<file path=xl/worksheets/_rels/sheet10.xml.rels><?xml version="1.0" encoding="UTF-8" standalone="yes"?>
<Relationships xmlns="http://schemas.openxmlformats.org/package/2006/relationships"><Relationship Id="rId3" Type="http://schemas.openxmlformats.org/officeDocument/2006/relationships/customProperty" Target="../customProperty20.bin"/><Relationship Id="rId2" Type="http://schemas.openxmlformats.org/officeDocument/2006/relationships/customProperty" Target="../customProperty19.bin"/><Relationship Id="rId1" Type="http://schemas.openxmlformats.org/officeDocument/2006/relationships/customProperty" Target="../customProperty18.bin"/></Relationships>
</file>

<file path=xl/worksheets/_rels/sheet11.xml.rels><?xml version="1.0" encoding="UTF-8" standalone="yes"?>
<Relationships xmlns="http://schemas.openxmlformats.org/package/2006/relationships"><Relationship Id="rId3" Type="http://schemas.openxmlformats.org/officeDocument/2006/relationships/customProperty" Target="../customProperty23.bin"/><Relationship Id="rId2" Type="http://schemas.openxmlformats.org/officeDocument/2006/relationships/customProperty" Target="../customProperty22.bin"/><Relationship Id="rId1" Type="http://schemas.openxmlformats.org/officeDocument/2006/relationships/customProperty" Target="../customProperty21.bin"/></Relationships>
</file>

<file path=xl/worksheets/_rels/sheet12.xml.rels><?xml version="1.0" encoding="UTF-8" standalone="yes"?>
<Relationships xmlns="http://schemas.openxmlformats.org/package/2006/relationships"><Relationship Id="rId3" Type="http://schemas.openxmlformats.org/officeDocument/2006/relationships/customProperty" Target="../customProperty26.bin"/><Relationship Id="rId2" Type="http://schemas.openxmlformats.org/officeDocument/2006/relationships/customProperty" Target="../customProperty25.bin"/><Relationship Id="rId1" Type="http://schemas.openxmlformats.org/officeDocument/2006/relationships/customProperty" Target="../customProperty24.bin"/></Relationships>
</file>

<file path=xl/worksheets/_rels/sheet13.xml.rels><?xml version="1.0" encoding="UTF-8" standalone="yes"?>
<Relationships xmlns="http://schemas.openxmlformats.org/package/2006/relationships"><Relationship Id="rId2" Type="http://schemas.openxmlformats.org/officeDocument/2006/relationships/customProperty" Target="../customProperty28.bin"/><Relationship Id="rId1" Type="http://schemas.openxmlformats.org/officeDocument/2006/relationships/customProperty" Target="../customProperty27.bin"/></Relationships>
</file>

<file path=xl/worksheets/_rels/sheet14.xml.rels><?xml version="1.0" encoding="UTF-8" standalone="yes"?>
<Relationships xmlns="http://schemas.openxmlformats.org/package/2006/relationships"><Relationship Id="rId2" Type="http://schemas.openxmlformats.org/officeDocument/2006/relationships/customProperty" Target="../customProperty30.bin"/><Relationship Id="rId1" Type="http://schemas.openxmlformats.org/officeDocument/2006/relationships/customProperty" Target="../customProperty29.bin"/></Relationships>
</file>

<file path=xl/worksheets/_rels/sheet15.xml.rels><?xml version="1.0" encoding="UTF-8" standalone="yes"?>
<Relationships xmlns="http://schemas.openxmlformats.org/package/2006/relationships"><Relationship Id="rId2" Type="http://schemas.openxmlformats.org/officeDocument/2006/relationships/customProperty" Target="../customProperty32.bin"/><Relationship Id="rId1" Type="http://schemas.openxmlformats.org/officeDocument/2006/relationships/customProperty" Target="../customProperty31.bin"/></Relationships>
</file>

<file path=xl/worksheets/_rels/sheet16.xml.rels><?xml version="1.0" encoding="UTF-8" standalone="yes"?>
<Relationships xmlns="http://schemas.openxmlformats.org/package/2006/relationships"><Relationship Id="rId2" Type="http://schemas.openxmlformats.org/officeDocument/2006/relationships/customProperty" Target="../customProperty34.bin"/><Relationship Id="rId1" Type="http://schemas.openxmlformats.org/officeDocument/2006/relationships/customProperty" Target="../customProperty33.bin"/></Relationships>
</file>

<file path=xl/worksheets/_rels/sheet17.xml.rels><?xml version="1.0" encoding="UTF-8" standalone="yes"?>
<Relationships xmlns="http://schemas.openxmlformats.org/package/2006/relationships"><Relationship Id="rId1" Type="http://schemas.openxmlformats.org/officeDocument/2006/relationships/customProperty" Target="../customProperty35.bin"/></Relationships>
</file>

<file path=xl/worksheets/_rels/sheet18.xml.rels><?xml version="1.0" encoding="UTF-8" standalone="yes"?>
<Relationships xmlns="http://schemas.openxmlformats.org/package/2006/relationships"><Relationship Id="rId1" Type="http://schemas.openxmlformats.org/officeDocument/2006/relationships/customProperty" Target="../customProperty36.bin"/></Relationships>
</file>

<file path=xl/worksheets/_rels/sheet19.xml.rels><?xml version="1.0" encoding="UTF-8" standalone="yes"?>
<Relationships xmlns="http://schemas.openxmlformats.org/package/2006/relationships"><Relationship Id="rId1" Type="http://schemas.openxmlformats.org/officeDocument/2006/relationships/customProperty" Target="../customProperty37.bin"/></Relationships>
</file>

<file path=xl/worksheets/_rels/sheet2.xml.rels><?xml version="1.0" encoding="UTF-8" standalone="yes"?>
<Relationships xmlns="http://schemas.openxmlformats.org/package/2006/relationships"><Relationship Id="rId1" Type="http://schemas.openxmlformats.org/officeDocument/2006/relationships/customProperty" Target="../customProperty2.bin"/></Relationships>
</file>

<file path=xl/worksheets/_rels/sheet21.xml.rels><?xml version="1.0" encoding="UTF-8" standalone="yes"?>
<Relationships xmlns="http://schemas.openxmlformats.org/package/2006/relationships"><Relationship Id="rId1" Type="http://schemas.openxmlformats.org/officeDocument/2006/relationships/customProperty" Target="../customProperty38.bin"/></Relationships>
</file>

<file path=xl/worksheets/_rels/sheet3.xml.rels><?xml version="1.0" encoding="UTF-8" standalone="yes"?>
<Relationships xmlns="http://schemas.openxmlformats.org/package/2006/relationships"><Relationship Id="rId1" Type="http://schemas.openxmlformats.org/officeDocument/2006/relationships/customProperty" Target="../customProperty3.bin"/></Relationships>
</file>

<file path=xl/worksheets/_rels/sheet4.xml.rels><?xml version="1.0" encoding="UTF-8" standalone="yes"?>
<Relationships xmlns="http://schemas.openxmlformats.org/package/2006/relationships"><Relationship Id="rId1" Type="http://schemas.openxmlformats.org/officeDocument/2006/relationships/customProperty" Target="../customProperty4.bin"/></Relationships>
</file>

<file path=xl/worksheets/_rels/sheet5.xml.rels><?xml version="1.0" encoding="UTF-8" standalone="yes"?>
<Relationships xmlns="http://schemas.openxmlformats.org/package/2006/relationships"><Relationship Id="rId1" Type="http://schemas.openxmlformats.org/officeDocument/2006/relationships/customProperty" Target="../customProperty5.bin"/></Relationships>
</file>

<file path=xl/worksheets/_rels/sheet6.xml.rels><?xml version="1.0" encoding="UTF-8" standalone="yes"?>
<Relationships xmlns="http://schemas.openxmlformats.org/package/2006/relationships"><Relationship Id="rId3" Type="http://schemas.openxmlformats.org/officeDocument/2006/relationships/customProperty" Target="../customProperty8.bin"/><Relationship Id="rId2" Type="http://schemas.openxmlformats.org/officeDocument/2006/relationships/customProperty" Target="../customProperty7.bin"/><Relationship Id="rId1" Type="http://schemas.openxmlformats.org/officeDocument/2006/relationships/customProperty" Target="../customProperty6.bin"/></Relationships>
</file>

<file path=xl/worksheets/_rels/sheet7.xml.rels><?xml version="1.0" encoding="UTF-8" standalone="yes"?>
<Relationships xmlns="http://schemas.openxmlformats.org/package/2006/relationships"><Relationship Id="rId3" Type="http://schemas.openxmlformats.org/officeDocument/2006/relationships/customProperty" Target="../customProperty11.bin"/><Relationship Id="rId2" Type="http://schemas.openxmlformats.org/officeDocument/2006/relationships/customProperty" Target="../customProperty10.bin"/><Relationship Id="rId1" Type="http://schemas.openxmlformats.org/officeDocument/2006/relationships/customProperty" Target="../customProperty9.bin"/></Relationships>
</file>

<file path=xl/worksheets/_rels/sheet8.xml.rels><?xml version="1.0" encoding="UTF-8" standalone="yes"?>
<Relationships xmlns="http://schemas.openxmlformats.org/package/2006/relationships"><Relationship Id="rId3" Type="http://schemas.openxmlformats.org/officeDocument/2006/relationships/customProperty" Target="../customProperty14.bin"/><Relationship Id="rId2" Type="http://schemas.openxmlformats.org/officeDocument/2006/relationships/customProperty" Target="../customProperty13.bin"/><Relationship Id="rId1" Type="http://schemas.openxmlformats.org/officeDocument/2006/relationships/customProperty" Target="../customProperty12.bin"/></Relationships>
</file>

<file path=xl/worksheets/_rels/sheet9.xml.rels><?xml version="1.0" encoding="UTF-8" standalone="yes"?>
<Relationships xmlns="http://schemas.openxmlformats.org/package/2006/relationships"><Relationship Id="rId3" Type="http://schemas.openxmlformats.org/officeDocument/2006/relationships/customProperty" Target="../customProperty17.bin"/><Relationship Id="rId2" Type="http://schemas.openxmlformats.org/officeDocument/2006/relationships/customProperty" Target="../customProperty16.bin"/><Relationship Id="rId1" Type="http://schemas.openxmlformats.org/officeDocument/2006/relationships/customProperty" Target="../customProperty1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3" tint="0.59999389629810485"/>
    <outlinePr summaryBelow="0" summaryRight="0"/>
  </sheetPr>
  <dimension ref="A1:J41"/>
  <sheetViews>
    <sheetView showGridLines="0" tabSelected="1" topLeftCell="A3" workbookViewId="0"/>
  </sheetViews>
  <sheetFormatPr defaultColWidth="0" defaultRowHeight="12.75" customHeight="1" zeroHeight="1"/>
  <cols>
    <col min="1" max="1" width="11.6640625" style="180" customWidth="1"/>
    <col min="2" max="2" width="83.77734375" style="180" bestFit="1" customWidth="1"/>
    <col min="3" max="10" width="11.6640625" style="180" customWidth="1"/>
    <col min="11" max="14" width="11.6640625" style="180" hidden="1" customWidth="1"/>
    <col min="15" max="16384" width="11.6640625" style="180" hidden="1"/>
  </cols>
  <sheetData>
    <row r="1" spans="2:2" ht="12.5"/>
    <row r="2" spans="2:2" ht="12.5"/>
    <row r="3" spans="2:2" ht="12.5"/>
    <row r="4" spans="2:2" ht="12.5"/>
    <row r="5" spans="2:2" ht="23">
      <c r="B5" s="181" t="s">
        <v>87</v>
      </c>
    </row>
    <row r="6" spans="2:2" ht="12.5"/>
    <row r="7" spans="2:2" ht="12.5"/>
    <row r="8" spans="2:2" ht="12.5"/>
    <row r="9" spans="2:2" s="275" customFormat="1" ht="23">
      <c r="B9" s="181" t="s">
        <v>23</v>
      </c>
    </row>
    <row r="10" spans="2:2" ht="12.5"/>
    <row r="11" spans="2:2" ht="12.5">
      <c r="B11" s="238" t="s">
        <v>55</v>
      </c>
    </row>
    <row r="12" spans="2:2" ht="12.5">
      <c r="B12" s="238" t="s">
        <v>151</v>
      </c>
    </row>
    <row r="13" spans="2:2" ht="12.5">
      <c r="B13" s="238" t="s">
        <v>13</v>
      </c>
    </row>
    <row r="14" spans="2:2" ht="12.5"/>
    <row r="15" spans="2:2" ht="12.5"/>
    <row r="16" spans="2:2" ht="12.5"/>
    <row r="17" ht="12.5"/>
    <row r="18" ht="12.5"/>
    <row r="19" ht="12.5"/>
    <row r="20" ht="12.5"/>
    <row r="21" ht="12.5"/>
    <row r="22" ht="12.5"/>
    <row r="23" ht="12.5"/>
    <row r="24" ht="12.5"/>
    <row r="25" ht="12.5"/>
    <row r="26" ht="12.5"/>
    <row r="27" ht="12.5"/>
    <row r="28" ht="12.5"/>
    <row r="29" ht="12.5"/>
    <row r="30" ht="12.5"/>
    <row r="31" ht="12.5"/>
    <row r="32" ht="12.5"/>
    <row r="33" ht="12.5"/>
    <row r="34" ht="12.5"/>
    <row r="35" ht="12.5"/>
    <row r="36" ht="12.5"/>
    <row r="37" ht="12.5"/>
    <row r="38" ht="12.5"/>
    <row r="39" ht="12.5"/>
    <row r="40" ht="12.5"/>
    <row r="41" ht="12.5"/>
  </sheetData>
  <pageMargins left="0.7" right="0.7" top="0.75" bottom="0.75" header="0.3" footer="0.3"/>
  <customProperties>
    <customPr name="MMSheetType" r:id="rId1"/>
  </customProperties>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S83"/>
  <sheetViews>
    <sheetView showGridLines="0" defaultGridColor="0" colorId="22" zoomScale="80" workbookViewId="0">
      <pane xSplit="9" ySplit="5" topLeftCell="J6" activePane="bottomRight" state="frozen"/>
      <selection activeCell="J6" sqref="J6"/>
      <selection pane="topRight" activeCell="J6" sqref="J6"/>
      <selection pane="bottomLeft" activeCell="J6" sqref="J6"/>
      <selection pane="bottomRight" activeCell="J6" sqref="J6"/>
    </sheetView>
  </sheetViews>
  <sheetFormatPr defaultColWidth="0" defaultRowHeight="13" outlineLevelRow="2"/>
  <cols>
    <col min="1" max="2" width="1.44140625" style="20" customWidth="1"/>
    <col min="3" max="3" width="1.44140625" style="47" customWidth="1"/>
    <col min="4" max="4" width="1.44140625" style="86" customWidth="1"/>
    <col min="5" max="5" width="45.5546875" style="48" bestFit="1" customWidth="1"/>
    <col min="6" max="6" width="20.88671875" style="48" bestFit="1" customWidth="1"/>
    <col min="7" max="7" width="13.33203125" style="48" bestFit="1" customWidth="1"/>
    <col min="8" max="8" width="13" style="48" bestFit="1" customWidth="1"/>
    <col min="9" max="9" width="3.44140625" style="48" customWidth="1"/>
    <col min="10" max="12" width="12.33203125" style="48" bestFit="1" customWidth="1"/>
    <col min="13" max="19" width="13" style="48" bestFit="1" customWidth="1"/>
    <col min="20" max="20" width="15.109375" style="48" hidden="1" customWidth="1"/>
    <col min="21" max="16384" width="15.109375" style="48" hidden="1"/>
  </cols>
  <sheetData>
    <row r="1" spans="1:19" s="56" customFormat="1" ht="25">
      <c r="A1" s="46" t="str">
        <f ca="1" xml:space="preserve"> RIGHT(CELL("filename", A1), LEN(CELL("filename", A1)) - SEARCH("]", CELL("filename", A1)))</f>
        <v>Cohort Structure</v>
      </c>
      <c r="B1" s="77"/>
      <c r="C1" s="78"/>
      <c r="D1" s="90"/>
      <c r="F1" s="49" t="str">
        <f>HYPERLINK("#Contents!A1","Go to contents")</f>
        <v>Go to contents</v>
      </c>
      <c r="H1" s="42"/>
      <c r="J1" s="42"/>
    </row>
    <row r="2" spans="1:19" s="50" customFormat="1">
      <c r="A2" s="40"/>
      <c r="B2" s="40"/>
      <c r="C2" s="79"/>
      <c r="D2" s="82"/>
      <c r="E2" s="17" t="s">
        <v>178</v>
      </c>
      <c r="F2" s="51">
        <v>0</v>
      </c>
      <c r="G2" s="52" t="s">
        <v>72</v>
      </c>
      <c r="H2" s="17"/>
      <c r="I2" s="17"/>
      <c r="J2" s="4">
        <f xml:space="preserve"> Time!J$12</f>
        <v>45535</v>
      </c>
      <c r="K2" s="4">
        <f xml:space="preserve"> Time!K$12</f>
        <v>45900</v>
      </c>
      <c r="L2" s="4">
        <f xml:space="preserve"> Time!L$12</f>
        <v>46265</v>
      </c>
      <c r="M2" s="4">
        <f xml:space="preserve"> Time!M$12</f>
        <v>46630</v>
      </c>
      <c r="N2" s="4">
        <f xml:space="preserve"> Time!N$12</f>
        <v>46996</v>
      </c>
      <c r="O2" s="4">
        <f xml:space="preserve"> Time!O$12</f>
        <v>47361</v>
      </c>
      <c r="P2" s="4">
        <f xml:space="preserve"> Time!P$12</f>
        <v>47726</v>
      </c>
      <c r="Q2" s="4">
        <f xml:space="preserve"> Time!Q$12</f>
        <v>48091</v>
      </c>
      <c r="R2" s="4">
        <f xml:space="preserve"> Time!R$12</f>
        <v>48457</v>
      </c>
      <c r="S2" s="4">
        <f xml:space="preserve"> Time!S$12</f>
        <v>48822</v>
      </c>
    </row>
    <row r="3" spans="1:19" s="32" customFormat="1">
      <c r="A3" s="40"/>
      <c r="B3" s="40"/>
      <c r="C3" s="79"/>
      <c r="D3" s="82"/>
      <c r="E3" s="37" t="s">
        <v>107</v>
      </c>
      <c r="F3" s="51"/>
      <c r="G3" s="52" t="s">
        <v>45</v>
      </c>
      <c r="H3" s="17"/>
      <c r="I3" s="17"/>
      <c r="J3" s="5">
        <f xml:space="preserve"> Time!J$16</f>
        <v>1</v>
      </c>
      <c r="K3" s="5">
        <f xml:space="preserve"> Time!K$16</f>
        <v>2</v>
      </c>
      <c r="L3" s="5">
        <f xml:space="preserve"> Time!L$16</f>
        <v>3</v>
      </c>
      <c r="M3" s="5">
        <f xml:space="preserve"> Time!M$16</f>
        <v>4</v>
      </c>
      <c r="N3" s="5">
        <f xml:space="preserve"> Time!N$16</f>
        <v>5</v>
      </c>
      <c r="O3" s="5">
        <f xml:space="preserve"> Time!O$16</f>
        <v>6</v>
      </c>
      <c r="P3" s="5">
        <f xml:space="preserve"> Time!P$16</f>
        <v>7</v>
      </c>
      <c r="Q3" s="5">
        <f xml:space="preserve"> Time!Q$16</f>
        <v>8</v>
      </c>
      <c r="R3" s="5">
        <f xml:space="preserve"> Time!R$16</f>
        <v>9</v>
      </c>
      <c r="S3" s="5">
        <f xml:space="preserve"> Time!S$16</f>
        <v>10</v>
      </c>
    </row>
    <row r="4" spans="1:19" s="30" customFormat="1">
      <c r="A4" s="40"/>
      <c r="B4" s="40"/>
      <c r="C4" s="79"/>
      <c r="D4" s="82"/>
      <c r="E4" s="17" t="s">
        <v>179</v>
      </c>
      <c r="F4" s="20"/>
      <c r="G4" s="17"/>
      <c r="H4" s="17"/>
      <c r="I4" s="17"/>
    </row>
    <row r="5" spans="1:19" s="32" customFormat="1">
      <c r="A5" s="40"/>
      <c r="B5" s="40"/>
      <c r="C5" s="79"/>
      <c r="D5" s="82"/>
      <c r="E5" s="17" t="s">
        <v>165</v>
      </c>
      <c r="F5" s="20" t="s">
        <v>129</v>
      </c>
      <c r="G5" s="20" t="s">
        <v>118</v>
      </c>
      <c r="H5" s="20" t="s">
        <v>106</v>
      </c>
      <c r="I5" s="17"/>
      <c r="J5" s="8"/>
      <c r="K5" s="8"/>
      <c r="L5" s="8"/>
      <c r="M5" s="8"/>
      <c r="N5" s="8"/>
      <c r="O5" s="8"/>
    </row>
    <row r="6" spans="1:19" s="37" customFormat="1">
      <c r="A6" s="20"/>
      <c r="B6" s="20"/>
      <c r="C6" s="47"/>
      <c r="D6" s="87"/>
      <c r="F6" s="20"/>
      <c r="G6" s="20"/>
      <c r="H6" s="20"/>
    </row>
    <row r="8" spans="1:19">
      <c r="A8" s="20" t="s">
        <v>62</v>
      </c>
    </row>
    <row r="9" spans="1:19" outlineLevel="1">
      <c r="B9" s="20" t="s">
        <v>126</v>
      </c>
    </row>
    <row r="10" spans="1:19" s="64" customFormat="1" outlineLevel="1">
      <c r="A10" s="33"/>
      <c r="B10" s="33"/>
      <c r="C10" s="62"/>
      <c r="D10" s="58"/>
      <c r="E10" s="13" t="str">
        <f xml:space="preserve">  InpC!E$31</f>
        <v>Companies in Cohort</v>
      </c>
      <c r="F10" s="13">
        <f xml:space="preserve">  InpC!F$31</f>
        <v>15</v>
      </c>
      <c r="G10" s="13" t="str">
        <f xml:space="preserve">  InpC!G$31</f>
        <v>Companies</v>
      </c>
      <c r="M10" s="109"/>
    </row>
    <row r="11" spans="1:19" outlineLevel="1">
      <c r="A11" s="18"/>
      <c r="B11" s="18"/>
      <c r="C11" s="28"/>
      <c r="D11" s="29"/>
      <c r="E11" s="9" t="str">
        <f xml:space="preserve">  Time!E$16</f>
        <v>Period number</v>
      </c>
      <c r="F11" s="9">
        <f xml:space="preserve">  Time!F$16</f>
        <v>0</v>
      </c>
      <c r="G11" s="9" t="str">
        <f xml:space="preserve">  Time!G$16</f>
        <v>Counter</v>
      </c>
      <c r="H11" s="9">
        <f xml:space="preserve">  Time!H$16</f>
        <v>0</v>
      </c>
      <c r="I11" s="9">
        <f xml:space="preserve">  Time!I$16</f>
        <v>0</v>
      </c>
      <c r="J11" s="9">
        <f xml:space="preserve">  Time!J$16</f>
        <v>1</v>
      </c>
      <c r="K11" s="9">
        <f xml:space="preserve">  Time!K$16</f>
        <v>2</v>
      </c>
      <c r="L11" s="9">
        <f xml:space="preserve">  Time!L$16</f>
        <v>3</v>
      </c>
      <c r="M11" s="9">
        <f xml:space="preserve">  Time!M$16</f>
        <v>4</v>
      </c>
      <c r="N11" s="9">
        <f xml:space="preserve">  Time!N$16</f>
        <v>5</v>
      </c>
      <c r="O11" s="9">
        <f xml:space="preserve">  Time!O$16</f>
        <v>6</v>
      </c>
      <c r="P11" s="9">
        <f xml:space="preserve">  Time!P$16</f>
        <v>7</v>
      </c>
      <c r="Q11" s="9">
        <f xml:space="preserve">  Time!Q$16</f>
        <v>8</v>
      </c>
      <c r="R11" s="9">
        <f xml:space="preserve">  Time!R$16</f>
        <v>9</v>
      </c>
      <c r="S11" s="9">
        <f xml:space="preserve">  Time!S$16</f>
        <v>10</v>
      </c>
    </row>
    <row r="12" spans="1:19" outlineLevel="1">
      <c r="E12" s="48" t="s">
        <v>30</v>
      </c>
      <c r="G12" s="48" t="s">
        <v>62</v>
      </c>
      <c r="J12" s="1">
        <f t="shared" ref="J12:S12" si="0" xml:space="preserve">  I15</f>
        <v>15</v>
      </c>
      <c r="K12" s="1">
        <f t="shared" si="0"/>
        <v>10.5</v>
      </c>
      <c r="L12" s="1">
        <f t="shared" si="0"/>
        <v>6.2250000000000005</v>
      </c>
      <c r="M12" s="1">
        <f t="shared" si="0"/>
        <v>3.2250000000000005</v>
      </c>
      <c r="N12" s="1">
        <f t="shared" si="0"/>
        <v>3.2250000000000005</v>
      </c>
      <c r="O12" s="1">
        <f t="shared" si="0"/>
        <v>2.2500000000000004</v>
      </c>
      <c r="P12" s="1">
        <f t="shared" si="0"/>
        <v>1.2750000000000004</v>
      </c>
      <c r="Q12" s="1">
        <f t="shared" si="0"/>
        <v>0.30000000000000027</v>
      </c>
      <c r="R12" s="1">
        <f t="shared" si="0"/>
        <v>0.30000000000000027</v>
      </c>
      <c r="S12" s="1">
        <f t="shared" si="0"/>
        <v>0.30000000000000027</v>
      </c>
    </row>
    <row r="13" spans="1:19" outlineLevel="1">
      <c r="D13" s="86" t="s">
        <v>112</v>
      </c>
      <c r="E13" s="1" t="str">
        <f t="shared" ref="E13:S13" si="1" xml:space="preserve">  E$27</f>
        <v>Exits</v>
      </c>
      <c r="F13" s="1">
        <f t="shared" si="1"/>
        <v>0</v>
      </c>
      <c r="G13" s="1" t="str">
        <f t="shared" si="1"/>
        <v>Companies</v>
      </c>
      <c r="H13" s="1">
        <f t="shared" si="1"/>
        <v>2.9250000000000003</v>
      </c>
      <c r="I13" s="1">
        <f t="shared" si="1"/>
        <v>0</v>
      </c>
      <c r="J13" s="1">
        <f t="shared" si="1"/>
        <v>0</v>
      </c>
      <c r="K13" s="1">
        <f t="shared" si="1"/>
        <v>0</v>
      </c>
      <c r="L13" s="1">
        <f t="shared" si="1"/>
        <v>0</v>
      </c>
      <c r="M13" s="1">
        <f t="shared" si="1"/>
        <v>0</v>
      </c>
      <c r="N13" s="1">
        <f t="shared" si="1"/>
        <v>0.97500000000000009</v>
      </c>
      <c r="O13" s="1">
        <f t="shared" si="1"/>
        <v>0.97500000000000009</v>
      </c>
      <c r="P13" s="1">
        <f t="shared" si="1"/>
        <v>0.97500000000000009</v>
      </c>
      <c r="Q13" s="1">
        <f t="shared" si="1"/>
        <v>0</v>
      </c>
      <c r="R13" s="1">
        <f t="shared" si="1"/>
        <v>0</v>
      </c>
      <c r="S13" s="1">
        <f t="shared" si="1"/>
        <v>0</v>
      </c>
    </row>
    <row r="14" spans="1:19" outlineLevel="1">
      <c r="D14" s="86" t="s">
        <v>156</v>
      </c>
      <c r="E14" s="1" t="str">
        <f t="shared" ref="E14:S14" si="2" xml:space="preserve">  E$33</f>
        <v>Failures</v>
      </c>
      <c r="F14" s="1">
        <f t="shared" si="2"/>
        <v>0</v>
      </c>
      <c r="G14" s="1" t="str">
        <f t="shared" si="2"/>
        <v>Companies</v>
      </c>
      <c r="H14" s="1">
        <f t="shared" si="2"/>
        <v>11.774999999999999</v>
      </c>
      <c r="I14" s="1">
        <f t="shared" si="2"/>
        <v>0</v>
      </c>
      <c r="J14" s="1">
        <f t="shared" si="2"/>
        <v>4.5</v>
      </c>
      <c r="K14" s="1">
        <f t="shared" si="2"/>
        <v>4.2749999999999995</v>
      </c>
      <c r="L14" s="1">
        <f t="shared" si="2"/>
        <v>3</v>
      </c>
      <c r="M14" s="1">
        <f t="shared" si="2"/>
        <v>0</v>
      </c>
      <c r="N14" s="1">
        <f t="shared" si="2"/>
        <v>0</v>
      </c>
      <c r="O14" s="1">
        <f t="shared" si="2"/>
        <v>0</v>
      </c>
      <c r="P14" s="1">
        <f t="shared" si="2"/>
        <v>0</v>
      </c>
      <c r="Q14" s="1">
        <f t="shared" si="2"/>
        <v>0</v>
      </c>
      <c r="R14" s="1">
        <f t="shared" si="2"/>
        <v>0</v>
      </c>
      <c r="S14" s="1">
        <f t="shared" si="2"/>
        <v>0</v>
      </c>
    </row>
    <row r="15" spans="1:19" s="59" customFormat="1" outlineLevel="1">
      <c r="A15" s="35"/>
      <c r="B15" s="35"/>
      <c r="C15" s="60"/>
      <c r="D15" s="63"/>
      <c r="E15" s="22" t="s">
        <v>126</v>
      </c>
      <c r="F15" s="22"/>
      <c r="G15" s="22" t="s">
        <v>62</v>
      </c>
      <c r="H15" s="22"/>
      <c r="I15" s="12">
        <f t="shared" ref="I15:S15" si="3" xml:space="preserve">  IF( I11 = 0, $F10, I12 - I14 - I13 )</f>
        <v>15</v>
      </c>
      <c r="J15" s="12">
        <f t="shared" si="3"/>
        <v>10.5</v>
      </c>
      <c r="K15" s="12">
        <f t="shared" si="3"/>
        <v>6.2250000000000005</v>
      </c>
      <c r="L15" s="12">
        <f t="shared" si="3"/>
        <v>3.2250000000000005</v>
      </c>
      <c r="M15" s="12">
        <f t="shared" si="3"/>
        <v>3.2250000000000005</v>
      </c>
      <c r="N15" s="12">
        <f t="shared" si="3"/>
        <v>2.2500000000000004</v>
      </c>
      <c r="O15" s="12">
        <f t="shared" si="3"/>
        <v>1.2750000000000004</v>
      </c>
      <c r="P15" s="12">
        <f t="shared" si="3"/>
        <v>0.30000000000000027</v>
      </c>
      <c r="Q15" s="12">
        <f t="shared" si="3"/>
        <v>0.30000000000000027</v>
      </c>
      <c r="R15" s="12">
        <f t="shared" si="3"/>
        <v>0.30000000000000027</v>
      </c>
      <c r="S15" s="12">
        <f t="shared" si="3"/>
        <v>0.30000000000000027</v>
      </c>
    </row>
    <row r="16" spans="1:19" outlineLevel="1"/>
    <row r="17" spans="1:19" outlineLevel="1">
      <c r="B17" s="20" t="s">
        <v>49</v>
      </c>
    </row>
    <row r="18" spans="1:19" s="64" customFormat="1" outlineLevel="1">
      <c r="A18" s="33"/>
      <c r="B18" s="33"/>
      <c r="C18" s="62"/>
      <c r="D18" s="58"/>
      <c r="E18" s="13" t="str">
        <f xml:space="preserve">  Time!E$16</f>
        <v>Period number</v>
      </c>
      <c r="F18" s="13">
        <f xml:space="preserve">  Time!F$16</f>
        <v>0</v>
      </c>
      <c r="G18" s="13" t="str">
        <f xml:space="preserve">  Time!G$16</f>
        <v>Counter</v>
      </c>
      <c r="H18" s="13">
        <f xml:space="preserve">  Time!H$16</f>
        <v>0</v>
      </c>
      <c r="I18" s="13">
        <f xml:space="preserve">  Time!I$16</f>
        <v>0</v>
      </c>
      <c r="J18" s="13">
        <f xml:space="preserve">  Time!J$16</f>
        <v>1</v>
      </c>
      <c r="K18" s="13">
        <f xml:space="preserve">  Time!K$16</f>
        <v>2</v>
      </c>
      <c r="L18" s="13">
        <f xml:space="preserve">  Time!L$16</f>
        <v>3</v>
      </c>
      <c r="M18" s="13">
        <f xml:space="preserve">  Time!M$16</f>
        <v>4</v>
      </c>
      <c r="N18" s="13">
        <f xml:space="preserve">  Time!N$16</f>
        <v>5</v>
      </c>
      <c r="O18" s="13">
        <f xml:space="preserve">  Time!O$16</f>
        <v>6</v>
      </c>
      <c r="P18" s="13">
        <f xml:space="preserve">  Time!P$16</f>
        <v>7</v>
      </c>
      <c r="Q18" s="13">
        <f xml:space="preserve">  Time!Q$16</f>
        <v>8</v>
      </c>
      <c r="R18" s="13">
        <f xml:space="preserve">  Time!R$16</f>
        <v>9</v>
      </c>
      <c r="S18" s="13">
        <f xml:space="preserve">  Time!S$16</f>
        <v>10</v>
      </c>
    </row>
    <row r="19" spans="1:19" outlineLevel="1">
      <c r="E19" s="48" t="s">
        <v>116</v>
      </c>
      <c r="G19" s="48" t="s">
        <v>111</v>
      </c>
      <c r="J19" s="15">
        <f t="shared" ref="J19:S19" si="4" xml:space="preserve">  I22</f>
        <v>1</v>
      </c>
      <c r="K19" s="15">
        <f t="shared" si="4"/>
        <v>0.7</v>
      </c>
      <c r="L19" s="15">
        <f t="shared" si="4"/>
        <v>0.41499999999999998</v>
      </c>
      <c r="M19" s="15">
        <f t="shared" si="4"/>
        <v>0.21499999999999997</v>
      </c>
      <c r="N19" s="15">
        <f t="shared" si="4"/>
        <v>0.21499999999999997</v>
      </c>
      <c r="O19" s="15">
        <f t="shared" si="4"/>
        <v>0.14999999999999997</v>
      </c>
      <c r="P19" s="15">
        <f t="shared" si="4"/>
        <v>8.4999999999999964E-2</v>
      </c>
      <c r="Q19" s="15">
        <f t="shared" si="4"/>
        <v>1.9999999999999962E-2</v>
      </c>
      <c r="R19" s="15">
        <f t="shared" si="4"/>
        <v>1.9999999999999962E-2</v>
      </c>
      <c r="S19" s="15">
        <f t="shared" si="4"/>
        <v>1.9999999999999962E-2</v>
      </c>
    </row>
    <row r="20" spans="1:19" outlineLevel="1">
      <c r="A20" s="18"/>
      <c r="B20" s="18"/>
      <c r="C20" s="28"/>
      <c r="D20" s="29" t="s">
        <v>112</v>
      </c>
      <c r="E20" s="21" t="str">
        <f xml:space="preserve">  InpS!E$26</f>
        <v>Percentage Fail</v>
      </c>
      <c r="F20" s="21">
        <f xml:space="preserve">  InpS!F$26</f>
        <v>0</v>
      </c>
      <c r="G20" s="21" t="str">
        <f xml:space="preserve">  InpS!G$26</f>
        <v>%</v>
      </c>
      <c r="H20" s="21">
        <f xml:space="preserve">  InpS!H$26</f>
        <v>0</v>
      </c>
      <c r="I20" s="21">
        <f xml:space="preserve">  InpS!I$26</f>
        <v>0</v>
      </c>
      <c r="J20" s="21">
        <f xml:space="preserve">  InpS!J$26</f>
        <v>0.3</v>
      </c>
      <c r="K20" s="21">
        <f xml:space="preserve">  InpS!K$26</f>
        <v>0.28499999999999998</v>
      </c>
      <c r="L20" s="21">
        <f xml:space="preserve">  InpS!L$26</f>
        <v>0.2</v>
      </c>
      <c r="M20" s="21">
        <f xml:space="preserve">  InpS!M$26</f>
        <v>0</v>
      </c>
      <c r="N20" s="21">
        <f xml:space="preserve">  InpS!N$26</f>
        <v>0</v>
      </c>
      <c r="O20" s="21">
        <f xml:space="preserve">  InpS!O$26</f>
        <v>0</v>
      </c>
      <c r="P20" s="21">
        <f xml:space="preserve">  InpS!P$26</f>
        <v>0</v>
      </c>
      <c r="Q20" s="21">
        <f xml:space="preserve">  InpS!Q$26</f>
        <v>0</v>
      </c>
      <c r="R20" s="21">
        <f xml:space="preserve">  InpS!R$26</f>
        <v>0</v>
      </c>
      <c r="S20" s="21">
        <f xml:space="preserve">  InpS!S$26</f>
        <v>0</v>
      </c>
    </row>
    <row r="21" spans="1:19" outlineLevel="1">
      <c r="A21" s="18"/>
      <c r="B21" s="18"/>
      <c r="C21" s="28"/>
      <c r="D21" s="29" t="s">
        <v>156</v>
      </c>
      <c r="E21" s="21" t="str">
        <f xml:space="preserve">  InpS!E$27</f>
        <v>Percentage Exit</v>
      </c>
      <c r="F21" s="21">
        <f xml:space="preserve">  InpS!F$27</f>
        <v>0</v>
      </c>
      <c r="G21" s="21" t="str">
        <f xml:space="preserve">  InpS!G$27</f>
        <v>%</v>
      </c>
      <c r="H21" s="21">
        <f xml:space="preserve">  InpS!H$27</f>
        <v>0</v>
      </c>
      <c r="I21" s="21">
        <f xml:space="preserve">  InpS!I$27</f>
        <v>0</v>
      </c>
      <c r="J21" s="21">
        <f xml:space="preserve">  InpS!J$27</f>
        <v>0</v>
      </c>
      <c r="K21" s="21">
        <f xml:space="preserve">  InpS!K$27</f>
        <v>0</v>
      </c>
      <c r="L21" s="21">
        <f xml:space="preserve">  InpS!L$27</f>
        <v>0</v>
      </c>
      <c r="M21" s="21">
        <f xml:space="preserve">  InpS!M$27</f>
        <v>0</v>
      </c>
      <c r="N21" s="21">
        <f xml:space="preserve">  InpS!N$27</f>
        <v>6.5000000000000002E-2</v>
      </c>
      <c r="O21" s="21">
        <f xml:space="preserve">  InpS!O$27</f>
        <v>6.5000000000000002E-2</v>
      </c>
      <c r="P21" s="21">
        <f xml:space="preserve">  InpS!P$27</f>
        <v>6.5000000000000002E-2</v>
      </c>
      <c r="Q21" s="21">
        <f xml:space="preserve">  InpS!Q$27</f>
        <v>0</v>
      </c>
      <c r="R21" s="21">
        <f xml:space="preserve">  InpS!R$27</f>
        <v>0</v>
      </c>
      <c r="S21" s="21">
        <f xml:space="preserve">  InpS!S$27</f>
        <v>0</v>
      </c>
    </row>
    <row r="22" spans="1:19" s="59" customFormat="1" outlineLevel="1">
      <c r="A22" s="35"/>
      <c r="B22" s="35"/>
      <c r="C22" s="60"/>
      <c r="D22" s="63"/>
      <c r="E22" s="22" t="s">
        <v>49</v>
      </c>
      <c r="F22" s="22"/>
      <c r="G22" s="22" t="s">
        <v>111</v>
      </c>
      <c r="H22" s="22"/>
      <c r="I22" s="61">
        <f t="shared" ref="I22:S22" si="5" xml:space="preserve">  IF( I18 = 0, 1, I19 - I21 - I20 )</f>
        <v>1</v>
      </c>
      <c r="J22" s="61">
        <f t="shared" si="5"/>
        <v>0.7</v>
      </c>
      <c r="K22" s="61">
        <f t="shared" si="5"/>
        <v>0.41499999999999998</v>
      </c>
      <c r="L22" s="61">
        <f t="shared" si="5"/>
        <v>0.21499999999999997</v>
      </c>
      <c r="M22" s="61">
        <f t="shared" si="5"/>
        <v>0.21499999999999997</v>
      </c>
      <c r="N22" s="61">
        <f t="shared" si="5"/>
        <v>0.14999999999999997</v>
      </c>
      <c r="O22" s="61">
        <f t="shared" si="5"/>
        <v>8.4999999999999964E-2</v>
      </c>
      <c r="P22" s="61">
        <f t="shared" si="5"/>
        <v>1.9999999999999962E-2</v>
      </c>
      <c r="Q22" s="61">
        <f t="shared" si="5"/>
        <v>1.9999999999999962E-2</v>
      </c>
      <c r="R22" s="61">
        <f t="shared" si="5"/>
        <v>1.9999999999999962E-2</v>
      </c>
      <c r="S22" s="61">
        <f t="shared" si="5"/>
        <v>1.9999999999999962E-2</v>
      </c>
    </row>
    <row r="23" spans="1:19" outlineLevel="1"/>
    <row r="24" spans="1:19" outlineLevel="1">
      <c r="B24" s="20" t="s">
        <v>172</v>
      </c>
    </row>
    <row r="25" spans="1:19" outlineLevel="2">
      <c r="A25" s="18"/>
      <c r="B25" s="18"/>
      <c r="C25" s="28"/>
      <c r="D25" s="29"/>
      <c r="E25" s="9" t="str">
        <f xml:space="preserve">  InpC!E$31</f>
        <v>Companies in Cohort</v>
      </c>
      <c r="F25" s="9">
        <f xml:space="preserve">  InpC!F$31</f>
        <v>15</v>
      </c>
      <c r="G25" s="9" t="str">
        <f xml:space="preserve">  InpC!G$31</f>
        <v>Companies</v>
      </c>
      <c r="M25" s="1"/>
    </row>
    <row r="26" spans="1:19" outlineLevel="2">
      <c r="A26" s="18"/>
      <c r="B26" s="18"/>
      <c r="C26" s="28"/>
      <c r="D26" s="29"/>
      <c r="E26" s="21" t="str">
        <f xml:space="preserve">  InpS!E$27</f>
        <v>Percentage Exit</v>
      </c>
      <c r="F26" s="21">
        <f xml:space="preserve">  InpS!F$27</f>
        <v>0</v>
      </c>
      <c r="G26" s="21" t="str">
        <f xml:space="preserve">  InpS!G$27</f>
        <v>%</v>
      </c>
      <c r="H26" s="21">
        <f xml:space="preserve">  InpS!H$27</f>
        <v>0</v>
      </c>
      <c r="I26" s="21">
        <f xml:space="preserve">  InpS!I$27</f>
        <v>0</v>
      </c>
      <c r="J26" s="21">
        <f xml:space="preserve">  InpS!J$27</f>
        <v>0</v>
      </c>
      <c r="K26" s="21">
        <f xml:space="preserve">  InpS!K$27</f>
        <v>0</v>
      </c>
      <c r="L26" s="21">
        <f xml:space="preserve">  InpS!L$27</f>
        <v>0</v>
      </c>
      <c r="M26" s="21">
        <f xml:space="preserve">  InpS!M$27</f>
        <v>0</v>
      </c>
      <c r="N26" s="21">
        <f xml:space="preserve">  InpS!N$27</f>
        <v>6.5000000000000002E-2</v>
      </c>
      <c r="O26" s="21">
        <f xml:space="preserve">  InpS!O$27</f>
        <v>6.5000000000000002E-2</v>
      </c>
      <c r="P26" s="21">
        <f xml:space="preserve">  InpS!P$27</f>
        <v>6.5000000000000002E-2</v>
      </c>
      <c r="Q26" s="21">
        <f xml:space="preserve">  InpS!Q$27</f>
        <v>0</v>
      </c>
      <c r="R26" s="21">
        <f xml:space="preserve">  InpS!R$27</f>
        <v>0</v>
      </c>
      <c r="S26" s="21">
        <f xml:space="preserve">  InpS!S$27</f>
        <v>0</v>
      </c>
    </row>
    <row r="27" spans="1:19" outlineLevel="2">
      <c r="E27" s="48" t="s">
        <v>172</v>
      </c>
      <c r="G27" s="48" t="s">
        <v>62</v>
      </c>
      <c r="H27" s="1">
        <f xml:space="preserve"> SUM( J27:S27 )</f>
        <v>2.9250000000000003</v>
      </c>
      <c r="J27" s="1">
        <f t="shared" ref="J27:S27" si="6" xml:space="preserve">  $F25 * J26</f>
        <v>0</v>
      </c>
      <c r="K27" s="1">
        <f t="shared" si="6"/>
        <v>0</v>
      </c>
      <c r="L27" s="1">
        <f t="shared" si="6"/>
        <v>0</v>
      </c>
      <c r="M27" s="1">
        <f t="shared" si="6"/>
        <v>0</v>
      </c>
      <c r="N27" s="1">
        <f t="shared" si="6"/>
        <v>0.97500000000000009</v>
      </c>
      <c r="O27" s="1">
        <f t="shared" si="6"/>
        <v>0.97500000000000009</v>
      </c>
      <c r="P27" s="1">
        <f t="shared" si="6"/>
        <v>0.97500000000000009</v>
      </c>
      <c r="Q27" s="1">
        <f t="shared" si="6"/>
        <v>0</v>
      </c>
      <c r="R27" s="1">
        <f t="shared" si="6"/>
        <v>0</v>
      </c>
      <c r="S27" s="1">
        <f t="shared" si="6"/>
        <v>0</v>
      </c>
    </row>
    <row r="28" spans="1:19" outlineLevel="1"/>
    <row r="29" spans="1:19" outlineLevel="1"/>
    <row r="30" spans="1:19" outlineLevel="1">
      <c r="B30" s="20" t="s">
        <v>94</v>
      </c>
    </row>
    <row r="31" spans="1:19" outlineLevel="2">
      <c r="A31" s="18"/>
      <c r="B31" s="18"/>
      <c r="C31" s="28"/>
      <c r="D31" s="29"/>
      <c r="E31" s="9" t="str">
        <f xml:space="preserve">  InpC!E$31</f>
        <v>Companies in Cohort</v>
      </c>
      <c r="F31" s="9">
        <f xml:space="preserve">  InpC!F$31</f>
        <v>15</v>
      </c>
      <c r="G31" s="9" t="str">
        <f xml:space="preserve">  InpC!G$31</f>
        <v>Companies</v>
      </c>
      <c r="M31" s="1"/>
    </row>
    <row r="32" spans="1:19" outlineLevel="2">
      <c r="A32" s="18"/>
      <c r="B32" s="18"/>
      <c r="C32" s="28"/>
      <c r="D32" s="29"/>
      <c r="E32" s="21" t="str">
        <f xml:space="preserve">  InpS!E$26</f>
        <v>Percentage Fail</v>
      </c>
      <c r="F32" s="21">
        <f xml:space="preserve">  InpS!F$26</f>
        <v>0</v>
      </c>
      <c r="G32" s="21" t="str">
        <f xml:space="preserve">  InpS!G$26</f>
        <v>%</v>
      </c>
      <c r="H32" s="21">
        <f xml:space="preserve">  InpS!H$26</f>
        <v>0</v>
      </c>
      <c r="I32" s="21">
        <f xml:space="preserve">  InpS!I$26</f>
        <v>0</v>
      </c>
      <c r="J32" s="21">
        <f xml:space="preserve">  InpS!J$26</f>
        <v>0.3</v>
      </c>
      <c r="K32" s="21">
        <f xml:space="preserve">  InpS!K$26</f>
        <v>0.28499999999999998</v>
      </c>
      <c r="L32" s="21">
        <f xml:space="preserve">  InpS!L$26</f>
        <v>0.2</v>
      </c>
      <c r="M32" s="21">
        <f xml:space="preserve">  InpS!M$26</f>
        <v>0</v>
      </c>
      <c r="N32" s="21">
        <f xml:space="preserve">  InpS!N$26</f>
        <v>0</v>
      </c>
      <c r="O32" s="21">
        <f xml:space="preserve">  InpS!O$26</f>
        <v>0</v>
      </c>
      <c r="P32" s="21">
        <f xml:space="preserve">  InpS!P$26</f>
        <v>0</v>
      </c>
      <c r="Q32" s="21">
        <f xml:space="preserve">  InpS!Q$26</f>
        <v>0</v>
      </c>
      <c r="R32" s="21">
        <f xml:space="preserve">  InpS!R$26</f>
        <v>0</v>
      </c>
      <c r="S32" s="21">
        <f xml:space="preserve">  InpS!S$26</f>
        <v>0</v>
      </c>
    </row>
    <row r="33" spans="1:19" outlineLevel="2">
      <c r="E33" s="48" t="s">
        <v>94</v>
      </c>
      <c r="G33" s="48" t="s">
        <v>62</v>
      </c>
      <c r="H33" s="1">
        <f xml:space="preserve"> SUM( J33:S33 )</f>
        <v>11.774999999999999</v>
      </c>
      <c r="J33" s="1">
        <f t="shared" ref="J33:S33" si="7" xml:space="preserve">  $F31 * J32</f>
        <v>4.5</v>
      </c>
      <c r="K33" s="1">
        <f t="shared" si="7"/>
        <v>4.2749999999999995</v>
      </c>
      <c r="L33" s="1">
        <f t="shared" si="7"/>
        <v>3</v>
      </c>
      <c r="M33" s="1">
        <f t="shared" si="7"/>
        <v>0</v>
      </c>
      <c r="N33" s="1">
        <f t="shared" si="7"/>
        <v>0</v>
      </c>
      <c r="O33" s="1">
        <f t="shared" si="7"/>
        <v>0</v>
      </c>
      <c r="P33" s="1">
        <f t="shared" si="7"/>
        <v>0</v>
      </c>
      <c r="Q33" s="1">
        <f t="shared" si="7"/>
        <v>0</v>
      </c>
      <c r="R33" s="1">
        <f t="shared" si="7"/>
        <v>0</v>
      </c>
      <c r="S33" s="1">
        <f t="shared" si="7"/>
        <v>0</v>
      </c>
    </row>
    <row r="34" spans="1:19" outlineLevel="1"/>
    <row r="35" spans="1:19" outlineLevel="1"/>
    <row r="36" spans="1:19" outlineLevel="1">
      <c r="B36" s="20" t="s">
        <v>157</v>
      </c>
    </row>
    <row r="37" spans="1:19" s="64" customFormat="1" outlineLevel="1">
      <c r="A37" s="33"/>
      <c r="B37" s="33"/>
      <c r="C37" s="62"/>
      <c r="D37" s="58"/>
      <c r="E37" s="13" t="str">
        <f xml:space="preserve">  Time!E$16</f>
        <v>Period number</v>
      </c>
      <c r="F37" s="13">
        <f xml:space="preserve">  Time!F$16</f>
        <v>0</v>
      </c>
      <c r="G37" s="13" t="str">
        <f xml:space="preserve">  Time!G$16</f>
        <v>Counter</v>
      </c>
      <c r="H37" s="13">
        <f xml:space="preserve">  Time!H$16</f>
        <v>0</v>
      </c>
      <c r="I37" s="13">
        <f xml:space="preserve">  Time!I$16</f>
        <v>0</v>
      </c>
      <c r="J37" s="13">
        <f xml:space="preserve">  Time!J$16</f>
        <v>1</v>
      </c>
      <c r="K37" s="13">
        <f xml:space="preserve">  Time!K$16</f>
        <v>2</v>
      </c>
      <c r="L37" s="13">
        <f xml:space="preserve">  Time!L$16</f>
        <v>3</v>
      </c>
      <c r="M37" s="13">
        <f xml:space="preserve">  Time!M$16</f>
        <v>4</v>
      </c>
      <c r="N37" s="13">
        <f xml:space="preserve">  Time!N$16</f>
        <v>5</v>
      </c>
      <c r="O37" s="13">
        <f xml:space="preserve">  Time!O$16</f>
        <v>6</v>
      </c>
      <c r="P37" s="13">
        <f xml:space="preserve">  Time!P$16</f>
        <v>7</v>
      </c>
      <c r="Q37" s="13">
        <f xml:space="preserve">  Time!Q$16</f>
        <v>8</v>
      </c>
      <c r="R37" s="13">
        <f xml:space="preserve">  Time!R$16</f>
        <v>9</v>
      </c>
      <c r="S37" s="13">
        <f xml:space="preserve">  Time!S$16</f>
        <v>10</v>
      </c>
    </row>
    <row r="38" spans="1:19" outlineLevel="1">
      <c r="E38" s="48" t="s">
        <v>31</v>
      </c>
      <c r="G38" s="48" t="s">
        <v>62</v>
      </c>
      <c r="J38" s="1">
        <f t="shared" ref="J38:S38" si="8" xml:space="preserve">  I40</f>
        <v>0</v>
      </c>
      <c r="K38" s="1">
        <f t="shared" si="8"/>
        <v>0</v>
      </c>
      <c r="L38" s="1">
        <f t="shared" si="8"/>
        <v>0</v>
      </c>
      <c r="M38" s="1">
        <f t="shared" si="8"/>
        <v>0</v>
      </c>
      <c r="N38" s="1">
        <f t="shared" si="8"/>
        <v>0</v>
      </c>
      <c r="O38" s="1">
        <f t="shared" si="8"/>
        <v>0.97500000000000009</v>
      </c>
      <c r="P38" s="1">
        <f t="shared" si="8"/>
        <v>1.9500000000000002</v>
      </c>
      <c r="Q38" s="1">
        <f t="shared" si="8"/>
        <v>2.9250000000000003</v>
      </c>
      <c r="R38" s="1">
        <f t="shared" si="8"/>
        <v>2.9250000000000003</v>
      </c>
      <c r="S38" s="1">
        <f t="shared" si="8"/>
        <v>2.9250000000000003</v>
      </c>
    </row>
    <row r="39" spans="1:19" outlineLevel="1">
      <c r="D39" s="86" t="s">
        <v>112</v>
      </c>
      <c r="E39" s="1" t="str">
        <f t="shared" ref="E39:S39" si="9" xml:space="preserve">  E$27</f>
        <v>Exits</v>
      </c>
      <c r="F39" s="1">
        <f t="shared" si="9"/>
        <v>0</v>
      </c>
      <c r="G39" s="1" t="str">
        <f t="shared" si="9"/>
        <v>Companies</v>
      </c>
      <c r="H39" s="1">
        <f t="shared" si="9"/>
        <v>2.9250000000000003</v>
      </c>
      <c r="I39" s="1">
        <f t="shared" si="9"/>
        <v>0</v>
      </c>
      <c r="J39" s="1">
        <f t="shared" si="9"/>
        <v>0</v>
      </c>
      <c r="K39" s="1">
        <f t="shared" si="9"/>
        <v>0</v>
      </c>
      <c r="L39" s="1">
        <f t="shared" si="9"/>
        <v>0</v>
      </c>
      <c r="M39" s="1">
        <f t="shared" si="9"/>
        <v>0</v>
      </c>
      <c r="N39" s="1">
        <f t="shared" si="9"/>
        <v>0.97500000000000009</v>
      </c>
      <c r="O39" s="1">
        <f t="shared" si="9"/>
        <v>0.97500000000000009</v>
      </c>
      <c r="P39" s="1">
        <f t="shared" si="9"/>
        <v>0.97500000000000009</v>
      </c>
      <c r="Q39" s="1">
        <f t="shared" si="9"/>
        <v>0</v>
      </c>
      <c r="R39" s="1">
        <f t="shared" si="9"/>
        <v>0</v>
      </c>
      <c r="S39" s="1">
        <f t="shared" si="9"/>
        <v>0</v>
      </c>
    </row>
    <row r="40" spans="1:19" s="59" customFormat="1" outlineLevel="1">
      <c r="A40" s="35"/>
      <c r="B40" s="35"/>
      <c r="C40" s="60"/>
      <c r="D40" s="63"/>
      <c r="E40" s="22" t="s">
        <v>157</v>
      </c>
      <c r="F40" s="22"/>
      <c r="G40" s="22" t="s">
        <v>62</v>
      </c>
      <c r="H40" s="22"/>
      <c r="I40" s="12">
        <f t="shared" ref="I40:S40" si="10" xml:space="preserve">  IF( I37 = 0, 0, I38 + I39 )</f>
        <v>0</v>
      </c>
      <c r="J40" s="12">
        <f t="shared" si="10"/>
        <v>0</v>
      </c>
      <c r="K40" s="12">
        <f t="shared" si="10"/>
        <v>0</v>
      </c>
      <c r="L40" s="12">
        <f t="shared" si="10"/>
        <v>0</v>
      </c>
      <c r="M40" s="12">
        <f t="shared" si="10"/>
        <v>0</v>
      </c>
      <c r="N40" s="12">
        <f t="shared" si="10"/>
        <v>0.97500000000000009</v>
      </c>
      <c r="O40" s="12">
        <f t="shared" si="10"/>
        <v>1.9500000000000002</v>
      </c>
      <c r="P40" s="12">
        <f t="shared" si="10"/>
        <v>2.9250000000000003</v>
      </c>
      <c r="Q40" s="12">
        <f t="shared" si="10"/>
        <v>2.9250000000000003</v>
      </c>
      <c r="R40" s="12">
        <f t="shared" si="10"/>
        <v>2.9250000000000003</v>
      </c>
      <c r="S40" s="12">
        <f t="shared" si="10"/>
        <v>2.9250000000000003</v>
      </c>
    </row>
    <row r="41" spans="1:19" outlineLevel="1"/>
    <row r="42" spans="1:19" outlineLevel="1">
      <c r="B42" s="20" t="s">
        <v>173</v>
      </c>
    </row>
    <row r="43" spans="1:19" s="64" customFormat="1" outlineLevel="1">
      <c r="A43" s="33"/>
      <c r="B43" s="33"/>
      <c r="C43" s="62"/>
      <c r="D43" s="58"/>
      <c r="E43" s="13" t="str">
        <f xml:space="preserve">  Time!E$16</f>
        <v>Period number</v>
      </c>
      <c r="F43" s="13">
        <f xml:space="preserve">  Time!F$16</f>
        <v>0</v>
      </c>
      <c r="G43" s="13" t="str">
        <f xml:space="preserve">  Time!G$16</f>
        <v>Counter</v>
      </c>
      <c r="H43" s="13">
        <f xml:space="preserve">  Time!H$16</f>
        <v>0</v>
      </c>
      <c r="I43" s="13">
        <f xml:space="preserve">  Time!I$16</f>
        <v>0</v>
      </c>
      <c r="J43" s="13">
        <f xml:space="preserve">  Time!J$16</f>
        <v>1</v>
      </c>
      <c r="K43" s="13">
        <f xml:space="preserve">  Time!K$16</f>
        <v>2</v>
      </c>
      <c r="L43" s="13">
        <f xml:space="preserve">  Time!L$16</f>
        <v>3</v>
      </c>
      <c r="M43" s="13">
        <f xml:space="preserve">  Time!M$16</f>
        <v>4</v>
      </c>
      <c r="N43" s="13">
        <f xml:space="preserve">  Time!N$16</f>
        <v>5</v>
      </c>
      <c r="O43" s="13">
        <f xml:space="preserve">  Time!O$16</f>
        <v>6</v>
      </c>
      <c r="P43" s="13">
        <f xml:space="preserve">  Time!P$16</f>
        <v>7</v>
      </c>
      <c r="Q43" s="13">
        <f xml:space="preserve">  Time!Q$16</f>
        <v>8</v>
      </c>
      <c r="R43" s="13">
        <f xml:space="preserve">  Time!R$16</f>
        <v>9</v>
      </c>
      <c r="S43" s="13">
        <f xml:space="preserve">  Time!S$16</f>
        <v>10</v>
      </c>
    </row>
    <row r="44" spans="1:19" outlineLevel="1">
      <c r="E44" s="48" t="s">
        <v>38</v>
      </c>
      <c r="G44" s="48" t="s">
        <v>62</v>
      </c>
      <c r="J44" s="1">
        <f t="shared" ref="J44:S44" si="11" xml:space="preserve">  I46</f>
        <v>0</v>
      </c>
      <c r="K44" s="1">
        <f t="shared" si="11"/>
        <v>4.5</v>
      </c>
      <c r="L44" s="1">
        <f t="shared" si="11"/>
        <v>8.7749999999999986</v>
      </c>
      <c r="M44" s="1">
        <f t="shared" si="11"/>
        <v>11.774999999999999</v>
      </c>
      <c r="N44" s="1">
        <f t="shared" si="11"/>
        <v>11.774999999999999</v>
      </c>
      <c r="O44" s="1">
        <f t="shared" si="11"/>
        <v>11.774999999999999</v>
      </c>
      <c r="P44" s="1">
        <f t="shared" si="11"/>
        <v>11.774999999999999</v>
      </c>
      <c r="Q44" s="1">
        <f t="shared" si="11"/>
        <v>11.774999999999999</v>
      </c>
      <c r="R44" s="1">
        <f t="shared" si="11"/>
        <v>11.774999999999999</v>
      </c>
      <c r="S44" s="1">
        <f t="shared" si="11"/>
        <v>11.774999999999999</v>
      </c>
    </row>
    <row r="45" spans="1:19" outlineLevel="1">
      <c r="D45" s="86" t="s">
        <v>112</v>
      </c>
      <c r="E45" s="1" t="str">
        <f t="shared" ref="E45:S45" si="12" xml:space="preserve">  E$33</f>
        <v>Failures</v>
      </c>
      <c r="F45" s="1">
        <f t="shared" si="12"/>
        <v>0</v>
      </c>
      <c r="G45" s="1" t="str">
        <f t="shared" si="12"/>
        <v>Companies</v>
      </c>
      <c r="H45" s="1">
        <f t="shared" si="12"/>
        <v>11.774999999999999</v>
      </c>
      <c r="I45" s="1">
        <f t="shared" si="12"/>
        <v>0</v>
      </c>
      <c r="J45" s="1">
        <f t="shared" si="12"/>
        <v>4.5</v>
      </c>
      <c r="K45" s="1">
        <f t="shared" si="12"/>
        <v>4.2749999999999995</v>
      </c>
      <c r="L45" s="1">
        <f t="shared" si="12"/>
        <v>3</v>
      </c>
      <c r="M45" s="1">
        <f t="shared" si="12"/>
        <v>0</v>
      </c>
      <c r="N45" s="1">
        <f t="shared" si="12"/>
        <v>0</v>
      </c>
      <c r="O45" s="1">
        <f t="shared" si="12"/>
        <v>0</v>
      </c>
      <c r="P45" s="1">
        <f t="shared" si="12"/>
        <v>0</v>
      </c>
      <c r="Q45" s="1">
        <f t="shared" si="12"/>
        <v>0</v>
      </c>
      <c r="R45" s="1">
        <f t="shared" si="12"/>
        <v>0</v>
      </c>
      <c r="S45" s="1">
        <f t="shared" si="12"/>
        <v>0</v>
      </c>
    </row>
    <row r="46" spans="1:19" s="59" customFormat="1" outlineLevel="1">
      <c r="A46" s="35"/>
      <c r="B46" s="35"/>
      <c r="C46" s="60"/>
      <c r="D46" s="63"/>
      <c r="E46" s="22" t="s">
        <v>173</v>
      </c>
      <c r="F46" s="22"/>
      <c r="G46" s="22" t="s">
        <v>62</v>
      </c>
      <c r="H46" s="22"/>
      <c r="I46" s="12">
        <f t="shared" ref="I46:S46" si="13" xml:space="preserve">  IF( I43 = 0, 0, I44 + I45 )</f>
        <v>0</v>
      </c>
      <c r="J46" s="12">
        <f t="shared" si="13"/>
        <v>4.5</v>
      </c>
      <c r="K46" s="12">
        <f t="shared" si="13"/>
        <v>8.7749999999999986</v>
      </c>
      <c r="L46" s="12">
        <f t="shared" si="13"/>
        <v>11.774999999999999</v>
      </c>
      <c r="M46" s="12">
        <f t="shared" si="13"/>
        <v>11.774999999999999</v>
      </c>
      <c r="N46" s="12">
        <f t="shared" si="13"/>
        <v>11.774999999999999</v>
      </c>
      <c r="O46" s="12">
        <f t="shared" si="13"/>
        <v>11.774999999999999</v>
      </c>
      <c r="P46" s="12">
        <f t="shared" si="13"/>
        <v>11.774999999999999</v>
      </c>
      <c r="Q46" s="12">
        <f t="shared" si="13"/>
        <v>11.774999999999999</v>
      </c>
      <c r="R46" s="12">
        <f t="shared" si="13"/>
        <v>11.774999999999999</v>
      </c>
      <c r="S46" s="12">
        <f t="shared" si="13"/>
        <v>11.774999999999999</v>
      </c>
    </row>
    <row r="48" spans="1:19">
      <c r="A48" s="20" t="s">
        <v>29</v>
      </c>
    </row>
    <row r="49" spans="1:19" outlineLevel="1">
      <c r="B49" s="20" t="s">
        <v>181</v>
      </c>
    </row>
    <row r="50" spans="1:19" outlineLevel="2">
      <c r="E50" s="1" t="str">
        <f t="shared" ref="E50:S50" si="14" xml:space="preserve">  E$15</f>
        <v>Remaing Companies</v>
      </c>
      <c r="F50" s="1">
        <f t="shared" si="14"/>
        <v>0</v>
      </c>
      <c r="G50" s="1" t="str">
        <f t="shared" si="14"/>
        <v>Companies</v>
      </c>
      <c r="H50" s="1">
        <f t="shared" si="14"/>
        <v>0</v>
      </c>
      <c r="I50" s="1">
        <f t="shared" si="14"/>
        <v>15</v>
      </c>
      <c r="J50" s="1">
        <f t="shared" si="14"/>
        <v>10.5</v>
      </c>
      <c r="K50" s="1">
        <f t="shared" si="14"/>
        <v>6.2250000000000005</v>
      </c>
      <c r="L50" s="1">
        <f t="shared" si="14"/>
        <v>3.2250000000000005</v>
      </c>
      <c r="M50" s="1">
        <f t="shared" si="14"/>
        <v>3.2250000000000005</v>
      </c>
      <c r="N50" s="1">
        <f t="shared" si="14"/>
        <v>2.2500000000000004</v>
      </c>
      <c r="O50" s="1">
        <f t="shared" si="14"/>
        <v>1.2750000000000004</v>
      </c>
      <c r="P50" s="1">
        <f t="shared" si="14"/>
        <v>0.30000000000000027</v>
      </c>
      <c r="Q50" s="1">
        <f t="shared" si="14"/>
        <v>0.30000000000000027</v>
      </c>
      <c r="R50" s="1">
        <f t="shared" si="14"/>
        <v>0.30000000000000027</v>
      </c>
      <c r="S50" s="1">
        <f t="shared" si="14"/>
        <v>0.30000000000000027</v>
      </c>
    </row>
    <row r="51" spans="1:19" outlineLevel="2">
      <c r="A51" s="18"/>
      <c r="B51" s="18"/>
      <c r="C51" s="28"/>
      <c r="D51" s="29"/>
      <c r="E51" s="3" t="str">
        <f xml:space="preserve">  InpS!E$13</f>
        <v>New Company Loan Note</v>
      </c>
      <c r="F51" s="3">
        <f xml:space="preserve">  InpS!F$13</f>
        <v>0</v>
      </c>
      <c r="G51" s="3" t="str">
        <f xml:space="preserve">  InpS!G$13</f>
        <v>GBP</v>
      </c>
      <c r="H51" s="3">
        <f xml:space="preserve">  InpS!H$13</f>
        <v>2750000</v>
      </c>
      <c r="I51" s="3">
        <f xml:space="preserve">  InpS!I$13</f>
        <v>0</v>
      </c>
      <c r="J51" s="3">
        <f xml:space="preserve">  InpS!J$13</f>
        <v>150000</v>
      </c>
      <c r="K51" s="3">
        <f xml:space="preserve">  InpS!K$13</f>
        <v>350000</v>
      </c>
      <c r="L51" s="3">
        <f xml:space="preserve">  InpS!L$13</f>
        <v>750000</v>
      </c>
      <c r="M51" s="3">
        <f xml:space="preserve">  InpS!M$13</f>
        <v>1500000</v>
      </c>
      <c r="N51" s="3">
        <f xml:space="preserve">  InpS!N$13</f>
        <v>0</v>
      </c>
      <c r="O51" s="3">
        <f xml:space="preserve">  InpS!O$13</f>
        <v>0</v>
      </c>
      <c r="P51" s="3">
        <f xml:space="preserve">  InpS!P$13</f>
        <v>0</v>
      </c>
      <c r="Q51" s="3">
        <f xml:space="preserve">  InpS!Q$13</f>
        <v>0</v>
      </c>
      <c r="R51" s="3">
        <f xml:space="preserve">  InpS!R$13</f>
        <v>0</v>
      </c>
      <c r="S51" s="3">
        <f xml:space="preserve">  InpS!S$13</f>
        <v>0</v>
      </c>
    </row>
    <row r="52" spans="1:19" outlineLevel="2">
      <c r="E52" s="48" t="s">
        <v>181</v>
      </c>
      <c r="G52" s="48" t="s">
        <v>132</v>
      </c>
      <c r="H52" s="2">
        <f xml:space="preserve"> SUM( J52:S52 )</f>
        <v>11010000</v>
      </c>
      <c r="J52" s="2">
        <f t="shared" ref="J52:S52" si="15" xml:space="preserve">  J50 * J51</f>
        <v>1575000</v>
      </c>
      <c r="K52" s="2">
        <f t="shared" si="15"/>
        <v>2178750</v>
      </c>
      <c r="L52" s="2">
        <f t="shared" si="15"/>
        <v>2418750.0000000005</v>
      </c>
      <c r="M52" s="2">
        <f t="shared" si="15"/>
        <v>4837500.0000000009</v>
      </c>
      <c r="N52" s="2">
        <f t="shared" si="15"/>
        <v>0</v>
      </c>
      <c r="O52" s="2">
        <f t="shared" si="15"/>
        <v>0</v>
      </c>
      <c r="P52" s="2">
        <f t="shared" si="15"/>
        <v>0</v>
      </c>
      <c r="Q52" s="2">
        <f t="shared" si="15"/>
        <v>0</v>
      </c>
      <c r="R52" s="2">
        <f t="shared" si="15"/>
        <v>0</v>
      </c>
      <c r="S52" s="2">
        <f t="shared" si="15"/>
        <v>0</v>
      </c>
    </row>
    <row r="53" spans="1:19" outlineLevel="1"/>
    <row r="54" spans="1:19" outlineLevel="1"/>
    <row r="55" spans="1:19" outlineLevel="1">
      <c r="B55" s="20" t="s">
        <v>50</v>
      </c>
    </row>
    <row r="56" spans="1:19" s="64" customFormat="1" outlineLevel="1">
      <c r="A56" s="33"/>
      <c r="B56" s="33"/>
      <c r="C56" s="62"/>
      <c r="D56" s="58"/>
      <c r="E56" s="13" t="str">
        <f xml:space="preserve">  Time!E$16</f>
        <v>Period number</v>
      </c>
      <c r="F56" s="13">
        <f xml:space="preserve">  Time!F$16</f>
        <v>0</v>
      </c>
      <c r="G56" s="13" t="str">
        <f xml:space="preserve">  Time!G$16</f>
        <v>Counter</v>
      </c>
      <c r="H56" s="13">
        <f xml:space="preserve">  Time!H$16</f>
        <v>0</v>
      </c>
      <c r="I56" s="13">
        <f xml:space="preserve">  Time!I$16</f>
        <v>0</v>
      </c>
      <c r="J56" s="13">
        <f xml:space="preserve">  Time!J$16</f>
        <v>1</v>
      </c>
      <c r="K56" s="13">
        <f xml:space="preserve">  Time!K$16</f>
        <v>2</v>
      </c>
      <c r="L56" s="13">
        <f xml:space="preserve">  Time!L$16</f>
        <v>3</v>
      </c>
      <c r="M56" s="13">
        <f xml:space="preserve">  Time!M$16</f>
        <v>4</v>
      </c>
      <c r="N56" s="13">
        <f xml:space="preserve">  Time!N$16</f>
        <v>5</v>
      </c>
      <c r="O56" s="13">
        <f xml:space="preserve">  Time!O$16</f>
        <v>6</v>
      </c>
      <c r="P56" s="13">
        <f xml:space="preserve">  Time!P$16</f>
        <v>7</v>
      </c>
      <c r="Q56" s="13">
        <f xml:space="preserve">  Time!Q$16</f>
        <v>8</v>
      </c>
      <c r="R56" s="13">
        <f xml:space="preserve">  Time!R$16</f>
        <v>9</v>
      </c>
      <c r="S56" s="13">
        <f xml:space="preserve">  Time!S$16</f>
        <v>10</v>
      </c>
    </row>
    <row r="57" spans="1:19" outlineLevel="1">
      <c r="E57" s="48" t="s">
        <v>174</v>
      </c>
      <c r="G57" s="48" t="s">
        <v>132</v>
      </c>
      <c r="J57" s="2">
        <f t="shared" ref="J57:S57" si="16" xml:space="preserve">  I59</f>
        <v>0</v>
      </c>
      <c r="K57" s="2">
        <f t="shared" si="16"/>
        <v>1575000</v>
      </c>
      <c r="L57" s="2">
        <f t="shared" si="16"/>
        <v>3753750</v>
      </c>
      <c r="M57" s="2">
        <f t="shared" si="16"/>
        <v>6172500</v>
      </c>
      <c r="N57" s="2">
        <f t="shared" si="16"/>
        <v>11010000</v>
      </c>
      <c r="O57" s="2">
        <f t="shared" si="16"/>
        <v>11010000</v>
      </c>
      <c r="P57" s="2">
        <f t="shared" si="16"/>
        <v>11010000</v>
      </c>
      <c r="Q57" s="2">
        <f t="shared" si="16"/>
        <v>11010000</v>
      </c>
      <c r="R57" s="2">
        <f t="shared" si="16"/>
        <v>11010000</v>
      </c>
      <c r="S57" s="2">
        <f t="shared" si="16"/>
        <v>11010000</v>
      </c>
    </row>
    <row r="58" spans="1:19" outlineLevel="1">
      <c r="D58" s="86" t="s">
        <v>112</v>
      </c>
      <c r="E58" s="2" t="str">
        <f t="shared" ref="E58:S58" si="17" xml:space="preserve">  E$52</f>
        <v>Drawdowns</v>
      </c>
      <c r="F58" s="2">
        <f t="shared" si="17"/>
        <v>0</v>
      </c>
      <c r="G58" s="2" t="str">
        <f t="shared" si="17"/>
        <v>GBP</v>
      </c>
      <c r="H58" s="2">
        <f t="shared" si="17"/>
        <v>11010000</v>
      </c>
      <c r="I58" s="2">
        <f t="shared" si="17"/>
        <v>0</v>
      </c>
      <c r="J58" s="2">
        <f t="shared" si="17"/>
        <v>1575000</v>
      </c>
      <c r="K58" s="2">
        <f t="shared" si="17"/>
        <v>2178750</v>
      </c>
      <c r="L58" s="2">
        <f t="shared" si="17"/>
        <v>2418750.0000000005</v>
      </c>
      <c r="M58" s="2">
        <f t="shared" si="17"/>
        <v>4837500.0000000009</v>
      </c>
      <c r="N58" s="2">
        <f t="shared" si="17"/>
        <v>0</v>
      </c>
      <c r="O58" s="2">
        <f t="shared" si="17"/>
        <v>0</v>
      </c>
      <c r="P58" s="2">
        <f t="shared" si="17"/>
        <v>0</v>
      </c>
      <c r="Q58" s="2">
        <f t="shared" si="17"/>
        <v>0</v>
      </c>
      <c r="R58" s="2">
        <f t="shared" si="17"/>
        <v>0</v>
      </c>
      <c r="S58" s="2">
        <f t="shared" si="17"/>
        <v>0</v>
      </c>
    </row>
    <row r="59" spans="1:19" s="59" customFormat="1" outlineLevel="1">
      <c r="A59" s="35"/>
      <c r="B59" s="35"/>
      <c r="C59" s="60"/>
      <c r="D59" s="63"/>
      <c r="E59" s="22" t="s">
        <v>50</v>
      </c>
      <c r="F59" s="22"/>
      <c r="G59" s="22" t="s">
        <v>132</v>
      </c>
      <c r="H59" s="22"/>
      <c r="I59" s="34">
        <f t="shared" ref="I59:S59" si="18" xml:space="preserve">  IF( I56 = 0, 0, I57 + I58 )</f>
        <v>0</v>
      </c>
      <c r="J59" s="34">
        <f t="shared" si="18"/>
        <v>1575000</v>
      </c>
      <c r="K59" s="34">
        <f t="shared" si="18"/>
        <v>3753750</v>
      </c>
      <c r="L59" s="34">
        <f t="shared" si="18"/>
        <v>6172500</v>
      </c>
      <c r="M59" s="34">
        <f t="shared" si="18"/>
        <v>11010000</v>
      </c>
      <c r="N59" s="34">
        <f t="shared" si="18"/>
        <v>11010000</v>
      </c>
      <c r="O59" s="34">
        <f t="shared" si="18"/>
        <v>11010000</v>
      </c>
      <c r="P59" s="34">
        <f t="shared" si="18"/>
        <v>11010000</v>
      </c>
      <c r="Q59" s="34">
        <f t="shared" si="18"/>
        <v>11010000</v>
      </c>
      <c r="R59" s="34">
        <f t="shared" si="18"/>
        <v>11010000</v>
      </c>
      <c r="S59" s="34">
        <f t="shared" si="18"/>
        <v>11010000</v>
      </c>
    </row>
    <row r="61" spans="1:19">
      <c r="A61" s="20" t="s">
        <v>51</v>
      </c>
    </row>
    <row r="62" spans="1:19" outlineLevel="1">
      <c r="B62" s="20" t="s">
        <v>22</v>
      </c>
    </row>
    <row r="63" spans="1:19" outlineLevel="2">
      <c r="E63" s="1" t="str">
        <f t="shared" ref="E63:S63" si="19" xml:space="preserve">  E$27</f>
        <v>Exits</v>
      </c>
      <c r="F63" s="1">
        <f t="shared" si="19"/>
        <v>0</v>
      </c>
      <c r="G63" s="1" t="str">
        <f t="shared" si="19"/>
        <v>Companies</v>
      </c>
      <c r="H63" s="1">
        <f t="shared" si="19"/>
        <v>2.9250000000000003</v>
      </c>
      <c r="I63" s="1">
        <f t="shared" si="19"/>
        <v>0</v>
      </c>
      <c r="J63" s="1">
        <f t="shared" si="19"/>
        <v>0</v>
      </c>
      <c r="K63" s="1">
        <f t="shared" si="19"/>
        <v>0</v>
      </c>
      <c r="L63" s="1">
        <f t="shared" si="19"/>
        <v>0</v>
      </c>
      <c r="M63" s="1">
        <f t="shared" si="19"/>
        <v>0</v>
      </c>
      <c r="N63" s="1">
        <f t="shared" si="19"/>
        <v>0.97500000000000009</v>
      </c>
      <c r="O63" s="1">
        <f t="shared" si="19"/>
        <v>0.97500000000000009</v>
      </c>
      <c r="P63" s="1">
        <f t="shared" si="19"/>
        <v>0.97500000000000009</v>
      </c>
      <c r="Q63" s="1">
        <f t="shared" si="19"/>
        <v>0</v>
      </c>
      <c r="R63" s="1">
        <f t="shared" si="19"/>
        <v>0</v>
      </c>
      <c r="S63" s="1">
        <f t="shared" si="19"/>
        <v>0</v>
      </c>
    </row>
    <row r="64" spans="1:19" outlineLevel="2">
      <c r="A64" s="18"/>
      <c r="B64" s="18"/>
      <c r="C64" s="28"/>
      <c r="D64" s="29"/>
      <c r="E64" s="3" t="str">
        <f xml:space="preserve">  'Company Capital Structure'!E$156</f>
        <v>Loan and Redemption Premium Repayment</v>
      </c>
      <c r="F64" s="3">
        <f xml:space="preserve">  'Company Capital Structure'!F$156</f>
        <v>0</v>
      </c>
      <c r="G64" s="3" t="str">
        <f xml:space="preserve">  'Company Capital Structure'!G$156</f>
        <v>GBP</v>
      </c>
      <c r="H64" s="3">
        <f xml:space="preserve">  'Company Capital Structure'!H$156</f>
        <v>25800000</v>
      </c>
      <c r="I64" s="3">
        <f xml:space="preserve">  'Company Capital Structure'!I$156</f>
        <v>0</v>
      </c>
      <c r="J64" s="3">
        <f xml:space="preserve">  'Company Capital Structure'!J$156</f>
        <v>300000</v>
      </c>
      <c r="K64" s="3">
        <f xml:space="preserve">  'Company Capital Structure'!K$156</f>
        <v>1000000</v>
      </c>
      <c r="L64" s="3">
        <f xml:space="preserve">  'Company Capital Structure'!L$156</f>
        <v>2500000</v>
      </c>
      <c r="M64" s="3">
        <f xml:space="preserve">  'Company Capital Structure'!M$156</f>
        <v>5500000</v>
      </c>
      <c r="N64" s="3">
        <f xml:space="preserve">  'Company Capital Structure'!N$156</f>
        <v>5500000</v>
      </c>
      <c r="O64" s="3">
        <f xml:space="preserve">  'Company Capital Structure'!O$156</f>
        <v>5500000</v>
      </c>
      <c r="P64" s="3">
        <f xml:space="preserve">  'Company Capital Structure'!P$156</f>
        <v>5500000</v>
      </c>
      <c r="Q64" s="3">
        <f xml:space="preserve">  'Company Capital Structure'!Q$156</f>
        <v>0</v>
      </c>
      <c r="R64" s="3">
        <f xml:space="preserve">  'Company Capital Structure'!R$156</f>
        <v>0</v>
      </c>
      <c r="S64" s="3">
        <f xml:space="preserve">  'Company Capital Structure'!S$156</f>
        <v>0</v>
      </c>
    </row>
    <row r="65" spans="1:19" outlineLevel="2">
      <c r="A65" s="18"/>
      <c r="B65" s="18"/>
      <c r="C65" s="28"/>
      <c r="D65" s="29"/>
      <c r="E65" s="3" t="str">
        <f xml:space="preserve">  'Company Capital Structure'!E$180</f>
        <v>Proceeds to Investor Cofounder</v>
      </c>
      <c r="F65" s="3">
        <f xml:space="preserve">  'Company Capital Structure'!F$180</f>
        <v>0</v>
      </c>
      <c r="G65" s="3" t="str">
        <f xml:space="preserve">  'Company Capital Structure'!G$180</f>
        <v>GBP</v>
      </c>
      <c r="H65" s="3">
        <f xml:space="preserve">  'Company Capital Structure'!H$180</f>
        <v>32062500</v>
      </c>
      <c r="I65" s="3">
        <f xml:space="preserve">  'Company Capital Structure'!I$180</f>
        <v>0</v>
      </c>
      <c r="J65" s="3">
        <f xml:space="preserve">  'Company Capital Structure'!J$180</f>
        <v>100000</v>
      </c>
      <c r="K65" s="3">
        <f xml:space="preserve">  'Company Capital Structure'!K$180</f>
        <v>454545.45454545453</v>
      </c>
      <c r="L65" s="3">
        <f xml:space="preserve">  'Company Capital Structure'!L$180</f>
        <v>965909.09090909106</v>
      </c>
      <c r="M65" s="3">
        <f xml:space="preserve">  'Company Capital Structure'!M$180</f>
        <v>1477840.9090909092</v>
      </c>
      <c r="N65" s="3">
        <f xml:space="preserve">  'Company Capital Structure'!N$180</f>
        <v>4761931.8181818184</v>
      </c>
      <c r="O65" s="3">
        <f xml:space="preserve">  'Company Capital Structure'!O$180</f>
        <v>9688068.1818181816</v>
      </c>
      <c r="P65" s="3">
        <f xml:space="preserve">  'Company Capital Structure'!P$180</f>
        <v>14614204.545454547</v>
      </c>
      <c r="Q65" s="3">
        <f xml:space="preserve">  'Company Capital Structure'!Q$180</f>
        <v>0</v>
      </c>
      <c r="R65" s="3">
        <f xml:space="preserve">  'Company Capital Structure'!R$180</f>
        <v>0</v>
      </c>
      <c r="S65" s="3">
        <f xml:space="preserve">  'Company Capital Structure'!S$180</f>
        <v>0</v>
      </c>
    </row>
    <row r="66" spans="1:19" outlineLevel="2">
      <c r="E66" s="48" t="s">
        <v>22</v>
      </c>
      <c r="G66" s="48" t="s">
        <v>132</v>
      </c>
      <c r="H66" s="2">
        <f xml:space="preserve"> SUM( J66:S66 )</f>
        <v>44425099.431818187</v>
      </c>
      <c r="J66" s="2">
        <f t="shared" ref="J66:S66" si="20" xml:space="preserve">  J63 * ( J64 + J65 )</f>
        <v>0</v>
      </c>
      <c r="K66" s="2">
        <f t="shared" si="20"/>
        <v>0</v>
      </c>
      <c r="L66" s="2">
        <f t="shared" si="20"/>
        <v>0</v>
      </c>
      <c r="M66" s="2">
        <f t="shared" si="20"/>
        <v>0</v>
      </c>
      <c r="N66" s="2">
        <f t="shared" si="20"/>
        <v>10005383.522727273</v>
      </c>
      <c r="O66" s="2">
        <f t="shared" si="20"/>
        <v>14808366.477272728</v>
      </c>
      <c r="P66" s="2">
        <f t="shared" si="20"/>
        <v>19611349.431818184</v>
      </c>
      <c r="Q66" s="2">
        <f t="shared" si="20"/>
        <v>0</v>
      </c>
      <c r="R66" s="2">
        <f t="shared" si="20"/>
        <v>0</v>
      </c>
      <c r="S66" s="2">
        <f t="shared" si="20"/>
        <v>0</v>
      </c>
    </row>
    <row r="67" spans="1:19" outlineLevel="1"/>
    <row r="68" spans="1:19" outlineLevel="1"/>
    <row r="69" spans="1:19" outlineLevel="1">
      <c r="B69" s="20" t="s">
        <v>137</v>
      </c>
    </row>
    <row r="70" spans="1:19" s="64" customFormat="1" outlineLevel="1">
      <c r="A70" s="33"/>
      <c r="B70" s="33"/>
      <c r="C70" s="62"/>
      <c r="D70" s="58"/>
      <c r="E70" s="13" t="str">
        <f xml:space="preserve">  Time!E$16</f>
        <v>Period number</v>
      </c>
      <c r="F70" s="13">
        <f xml:space="preserve">  Time!F$16</f>
        <v>0</v>
      </c>
      <c r="G70" s="13" t="str">
        <f xml:space="preserve">  Time!G$16</f>
        <v>Counter</v>
      </c>
      <c r="H70" s="13">
        <f xml:space="preserve">  Time!H$16</f>
        <v>0</v>
      </c>
      <c r="I70" s="13">
        <f xml:space="preserve">  Time!I$16</f>
        <v>0</v>
      </c>
      <c r="J70" s="13">
        <f xml:space="preserve">  Time!J$16</f>
        <v>1</v>
      </c>
      <c r="K70" s="13">
        <f xml:space="preserve">  Time!K$16</f>
        <v>2</v>
      </c>
      <c r="L70" s="13">
        <f xml:space="preserve">  Time!L$16</f>
        <v>3</v>
      </c>
      <c r="M70" s="13">
        <f xml:space="preserve">  Time!M$16</f>
        <v>4</v>
      </c>
      <c r="N70" s="13">
        <f xml:space="preserve">  Time!N$16</f>
        <v>5</v>
      </c>
      <c r="O70" s="13">
        <f xml:space="preserve">  Time!O$16</f>
        <v>6</v>
      </c>
      <c r="P70" s="13">
        <f xml:space="preserve">  Time!P$16</f>
        <v>7</v>
      </c>
      <c r="Q70" s="13">
        <f xml:space="preserve">  Time!Q$16</f>
        <v>8</v>
      </c>
      <c r="R70" s="13">
        <f xml:space="preserve">  Time!R$16</f>
        <v>9</v>
      </c>
      <c r="S70" s="13">
        <f xml:space="preserve">  Time!S$16</f>
        <v>10</v>
      </c>
    </row>
    <row r="71" spans="1:19" outlineLevel="1">
      <c r="E71" s="48" t="s">
        <v>68</v>
      </c>
      <c r="G71" s="48" t="s">
        <v>132</v>
      </c>
      <c r="J71" s="2">
        <f t="shared" ref="J71:S71" si="21" xml:space="preserve">  I73</f>
        <v>0</v>
      </c>
      <c r="K71" s="2">
        <f t="shared" si="21"/>
        <v>0</v>
      </c>
      <c r="L71" s="2">
        <f t="shared" si="21"/>
        <v>0</v>
      </c>
      <c r="M71" s="2">
        <f t="shared" si="21"/>
        <v>0</v>
      </c>
      <c r="N71" s="2">
        <f t="shared" si="21"/>
        <v>0</v>
      </c>
      <c r="O71" s="2">
        <f t="shared" si="21"/>
        <v>10005383.522727273</v>
      </c>
      <c r="P71" s="2">
        <f t="shared" si="21"/>
        <v>24813750</v>
      </c>
      <c r="Q71" s="2">
        <f t="shared" si="21"/>
        <v>44425099.431818187</v>
      </c>
      <c r="R71" s="2">
        <f t="shared" si="21"/>
        <v>44425099.431818187</v>
      </c>
      <c r="S71" s="2">
        <f t="shared" si="21"/>
        <v>44425099.431818187</v>
      </c>
    </row>
    <row r="72" spans="1:19" outlineLevel="1">
      <c r="D72" s="86" t="s">
        <v>112</v>
      </c>
      <c r="E72" s="2" t="str">
        <f t="shared" ref="E72:S72" si="22" xml:space="preserve">  E$66</f>
        <v>Investor Cofounder Return</v>
      </c>
      <c r="F72" s="2">
        <f t="shared" si="22"/>
        <v>0</v>
      </c>
      <c r="G72" s="2" t="str">
        <f t="shared" si="22"/>
        <v>GBP</v>
      </c>
      <c r="H72" s="2">
        <f t="shared" si="22"/>
        <v>44425099.431818187</v>
      </c>
      <c r="I72" s="2">
        <f t="shared" si="22"/>
        <v>0</v>
      </c>
      <c r="J72" s="2">
        <f t="shared" si="22"/>
        <v>0</v>
      </c>
      <c r="K72" s="2">
        <f t="shared" si="22"/>
        <v>0</v>
      </c>
      <c r="L72" s="2">
        <f t="shared" si="22"/>
        <v>0</v>
      </c>
      <c r="M72" s="2">
        <f t="shared" si="22"/>
        <v>0</v>
      </c>
      <c r="N72" s="2">
        <f t="shared" si="22"/>
        <v>10005383.522727273</v>
      </c>
      <c r="O72" s="2">
        <f t="shared" si="22"/>
        <v>14808366.477272728</v>
      </c>
      <c r="P72" s="2">
        <f t="shared" si="22"/>
        <v>19611349.431818184</v>
      </c>
      <c r="Q72" s="2">
        <f t="shared" si="22"/>
        <v>0</v>
      </c>
      <c r="R72" s="2">
        <f t="shared" si="22"/>
        <v>0</v>
      </c>
      <c r="S72" s="2">
        <f t="shared" si="22"/>
        <v>0</v>
      </c>
    </row>
    <row r="73" spans="1:19" s="59" customFormat="1" outlineLevel="1">
      <c r="A73" s="35"/>
      <c r="B73" s="35"/>
      <c r="C73" s="60"/>
      <c r="D73" s="63"/>
      <c r="E73" s="22" t="s">
        <v>137</v>
      </c>
      <c r="F73" s="22"/>
      <c r="G73" s="22" t="s">
        <v>132</v>
      </c>
      <c r="H73" s="22"/>
      <c r="I73" s="34">
        <f t="shared" ref="I73:S73" si="23" xml:space="preserve">  IF( I70 = 0, 0, I71 + I72 )</f>
        <v>0</v>
      </c>
      <c r="J73" s="34">
        <f t="shared" si="23"/>
        <v>0</v>
      </c>
      <c r="K73" s="34">
        <f t="shared" si="23"/>
        <v>0</v>
      </c>
      <c r="L73" s="34">
        <f t="shared" si="23"/>
        <v>0</v>
      </c>
      <c r="M73" s="34">
        <f t="shared" si="23"/>
        <v>0</v>
      </c>
      <c r="N73" s="34">
        <f t="shared" si="23"/>
        <v>10005383.522727273</v>
      </c>
      <c r="O73" s="34">
        <f t="shared" si="23"/>
        <v>24813750</v>
      </c>
      <c r="P73" s="34">
        <f t="shared" si="23"/>
        <v>44425099.431818187</v>
      </c>
      <c r="Q73" s="34">
        <f t="shared" si="23"/>
        <v>44425099.431818187</v>
      </c>
      <c r="R73" s="34">
        <f t="shared" si="23"/>
        <v>44425099.431818187</v>
      </c>
      <c r="S73" s="34">
        <f t="shared" si="23"/>
        <v>44425099.431818187</v>
      </c>
    </row>
    <row r="75" spans="1:19">
      <c r="A75" s="20" t="s">
        <v>114</v>
      </c>
    </row>
    <row r="76" spans="1:19" outlineLevel="1">
      <c r="B76" s="20" t="s">
        <v>10</v>
      </c>
    </row>
    <row r="77" spans="1:19" outlineLevel="2">
      <c r="E77" s="2" t="str">
        <f t="shared" ref="E77:S77" si="24" xml:space="preserve">  E$73</f>
        <v>Total Investor Cofounder Return</v>
      </c>
      <c r="F77" s="2">
        <f t="shared" si="24"/>
        <v>0</v>
      </c>
      <c r="G77" s="2" t="str">
        <f t="shared" si="24"/>
        <v>GBP</v>
      </c>
      <c r="H77" s="2">
        <f t="shared" si="24"/>
        <v>0</v>
      </c>
      <c r="I77" s="2">
        <f t="shared" si="24"/>
        <v>0</v>
      </c>
      <c r="J77" s="2">
        <f t="shared" si="24"/>
        <v>0</v>
      </c>
      <c r="K77" s="2">
        <f t="shared" si="24"/>
        <v>0</v>
      </c>
      <c r="L77" s="2">
        <f t="shared" si="24"/>
        <v>0</v>
      </c>
      <c r="M77" s="2">
        <f t="shared" si="24"/>
        <v>0</v>
      </c>
      <c r="N77" s="2">
        <f t="shared" si="24"/>
        <v>10005383.522727273</v>
      </c>
      <c r="O77" s="2">
        <f t="shared" si="24"/>
        <v>24813750</v>
      </c>
      <c r="P77" s="2">
        <f t="shared" si="24"/>
        <v>44425099.431818187</v>
      </c>
      <c r="Q77" s="2">
        <f t="shared" si="24"/>
        <v>44425099.431818187</v>
      </c>
      <c r="R77" s="2">
        <f t="shared" si="24"/>
        <v>44425099.431818187</v>
      </c>
      <c r="S77" s="2">
        <f t="shared" si="24"/>
        <v>44425099.431818187</v>
      </c>
    </row>
    <row r="78" spans="1:19" outlineLevel="2">
      <c r="E78" s="2" t="str">
        <f t="shared" ref="E78:S78" si="25" xml:space="preserve">  E$59</f>
        <v>Cohort Loan Balance</v>
      </c>
      <c r="F78" s="2">
        <f t="shared" si="25"/>
        <v>0</v>
      </c>
      <c r="G78" s="2" t="str">
        <f t="shared" si="25"/>
        <v>GBP</v>
      </c>
      <c r="H78" s="2">
        <f t="shared" si="25"/>
        <v>0</v>
      </c>
      <c r="I78" s="2">
        <f t="shared" si="25"/>
        <v>0</v>
      </c>
      <c r="J78" s="2">
        <f t="shared" si="25"/>
        <v>1575000</v>
      </c>
      <c r="K78" s="2">
        <f t="shared" si="25"/>
        <v>3753750</v>
      </c>
      <c r="L78" s="2">
        <f t="shared" si="25"/>
        <v>6172500</v>
      </c>
      <c r="M78" s="2">
        <f t="shared" si="25"/>
        <v>11010000</v>
      </c>
      <c r="N78" s="2">
        <f t="shared" si="25"/>
        <v>11010000</v>
      </c>
      <c r="O78" s="2">
        <f t="shared" si="25"/>
        <v>11010000</v>
      </c>
      <c r="P78" s="2">
        <f t="shared" si="25"/>
        <v>11010000</v>
      </c>
      <c r="Q78" s="2">
        <f t="shared" si="25"/>
        <v>11010000</v>
      </c>
      <c r="R78" s="2">
        <f t="shared" si="25"/>
        <v>11010000</v>
      </c>
      <c r="S78" s="2">
        <f t="shared" si="25"/>
        <v>11010000</v>
      </c>
    </row>
    <row r="79" spans="1:19" outlineLevel="2">
      <c r="A79" s="24"/>
      <c r="B79" s="24"/>
      <c r="C79" s="45"/>
      <c r="D79" s="43"/>
      <c r="E79" s="14" t="s">
        <v>10</v>
      </c>
      <c r="F79" s="14"/>
      <c r="G79" s="14" t="s">
        <v>117</v>
      </c>
      <c r="H79" s="14"/>
      <c r="I79" s="14"/>
      <c r="J79" s="65">
        <f t="shared" ref="J79:S79" si="26" xml:space="preserve">  IF( J77 &gt; 0, J77 / J78, 0 )</f>
        <v>0</v>
      </c>
      <c r="K79" s="65">
        <f t="shared" si="26"/>
        <v>0</v>
      </c>
      <c r="L79" s="65">
        <f t="shared" si="26"/>
        <v>0</v>
      </c>
      <c r="M79" s="65">
        <f t="shared" si="26"/>
        <v>0</v>
      </c>
      <c r="N79" s="65">
        <f t="shared" si="26"/>
        <v>0.90875418008422104</v>
      </c>
      <c r="O79" s="65">
        <f t="shared" si="26"/>
        <v>2.2537465940054497</v>
      </c>
      <c r="P79" s="65">
        <f t="shared" si="26"/>
        <v>4.034977241763686</v>
      </c>
      <c r="Q79" s="65">
        <f t="shared" si="26"/>
        <v>4.034977241763686</v>
      </c>
      <c r="R79" s="65">
        <f t="shared" si="26"/>
        <v>4.034977241763686</v>
      </c>
      <c r="S79" s="65">
        <f t="shared" si="26"/>
        <v>4.034977241763686</v>
      </c>
    </row>
    <row r="80" spans="1:19" outlineLevel="1"/>
    <row r="83" spans="2:2">
      <c r="B83" s="20" t="s">
        <v>139</v>
      </c>
    </row>
  </sheetData>
  <conditionalFormatting sqref="F2:F3">
    <cfRule type="cellIs" dxfId="56" priority="1" stopIfTrue="1" operator="notEqual">
      <formula>0</formula>
    </cfRule>
    <cfRule type="cellIs" dxfId="55" priority="2" stopIfTrue="1" operator="equal">
      <formula>""</formula>
    </cfRule>
  </conditionalFormatting>
  <conditionalFormatting sqref="J3:S3">
    <cfRule type="cellIs" dxfId="54" priority="8" operator="equal">
      <formula>"PPA ext."</formula>
    </cfRule>
    <cfRule type="cellIs" dxfId="53" priority="9" operator="equal">
      <formula>"Delay"</formula>
    </cfRule>
    <cfRule type="cellIs" dxfId="52" priority="10" operator="equal">
      <formula>"Fin Close"</formula>
    </cfRule>
    <cfRule type="cellIs" dxfId="51" priority="11" stopIfTrue="1" operator="equal">
      <formula>"Construction"</formula>
    </cfRule>
    <cfRule type="cellIs" dxfId="50" priority="12" stopIfTrue="1" operator="equal">
      <formula>"Operations"</formula>
    </cfRule>
  </conditionalFormatting>
  <printOptions headings="1"/>
  <pageMargins left="0.74803149606299213" right="0.74803149606299213" top="0.98425196850393704" bottom="0.98425196850393704" header="0.51181102362204722" footer="0.51181102362204722"/>
  <pageSetup paperSize="9" scale="49" orientation="landscape" blackAndWhite="1"/>
  <headerFooter>
    <oddHeader>&amp;LPROJECT [XXX]&amp;CSheet:&amp;A&amp;RSTRICTLY CONFIDENTIAL</oddHeader>
    <oddFooter>&amp;L&amp;F ( Printed on &amp;D at &amp;T )&amp;RPage &amp;P of &amp;N</oddFooter>
  </headerFooter>
  <customProperties>
    <customPr name="MMGroup" r:id="rId1"/>
    <customPr name="MMSheetType" r:id="rId2"/>
    <customPr name="MMTimeAxis" r:id="rId3"/>
  </customPropertie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S9"/>
  <sheetViews>
    <sheetView defaultGridColor="0" colorId="22" zoomScale="80" workbookViewId="0">
      <pane xSplit="9" ySplit="5" topLeftCell="J6" activePane="bottomRight" state="frozen"/>
      <selection activeCell="J6" sqref="J6"/>
      <selection pane="topRight" activeCell="J6" sqref="J6"/>
      <selection pane="bottomLeft" activeCell="J6" sqref="J6"/>
      <selection pane="bottomRight" activeCell="J6" sqref="J6"/>
    </sheetView>
  </sheetViews>
  <sheetFormatPr defaultColWidth="0" defaultRowHeight="13"/>
  <cols>
    <col min="1" max="2" width="1.44140625" style="20" customWidth="1"/>
    <col min="3" max="3" width="1.44140625" style="47" customWidth="1"/>
    <col min="4" max="4" width="1.44140625" style="86" customWidth="1"/>
    <col min="5" max="5" width="23.33203125" style="48" bestFit="1" customWidth="1"/>
    <col min="6" max="6" width="20.88671875" style="48" bestFit="1" customWidth="1"/>
    <col min="7" max="7" width="13.21875" style="48" bestFit="1" customWidth="1"/>
    <col min="8" max="8" width="7.6640625" style="48" bestFit="1" customWidth="1"/>
    <col min="9" max="9" width="3.44140625" style="48" customWidth="1"/>
    <col min="10" max="19" width="12.33203125" style="48" bestFit="1" customWidth="1"/>
    <col min="20" max="20" width="15.109375" style="48" hidden="1" customWidth="1"/>
    <col min="21" max="16384" width="15.109375" style="48" hidden="1"/>
  </cols>
  <sheetData>
    <row r="1" spans="1:19" s="56" customFormat="1" ht="25">
      <c r="A1" s="46" t="str">
        <f ca="1" xml:space="preserve"> RIGHT(CELL("filename", A1), LEN(CELL("filename", A1)) - SEARCH("]", CELL("filename", A1)))</f>
        <v>Portfolio Structure</v>
      </c>
      <c r="B1" s="77"/>
      <c r="C1" s="78"/>
      <c r="D1" s="90"/>
      <c r="F1" s="49" t="str">
        <f>HYPERLINK("#Contents!A1","Go to contents")</f>
        <v>Go to contents</v>
      </c>
      <c r="H1" s="42"/>
      <c r="J1" s="42"/>
    </row>
    <row r="2" spans="1:19" s="50" customFormat="1">
      <c r="A2" s="40"/>
      <c r="B2" s="40"/>
      <c r="C2" s="79"/>
      <c r="D2" s="82"/>
      <c r="E2" s="17" t="s">
        <v>178</v>
      </c>
      <c r="F2" s="51">
        <v>0</v>
      </c>
      <c r="G2" s="52" t="s">
        <v>72</v>
      </c>
      <c r="H2" s="17"/>
      <c r="I2" s="17"/>
      <c r="J2" s="4">
        <f xml:space="preserve"> Time!J$12</f>
        <v>45535</v>
      </c>
      <c r="K2" s="4">
        <f xml:space="preserve"> Time!K$12</f>
        <v>45900</v>
      </c>
      <c r="L2" s="4">
        <f xml:space="preserve"> Time!L$12</f>
        <v>46265</v>
      </c>
      <c r="M2" s="4">
        <f xml:space="preserve"> Time!M$12</f>
        <v>46630</v>
      </c>
      <c r="N2" s="4">
        <f xml:space="preserve"> Time!N$12</f>
        <v>46996</v>
      </c>
      <c r="O2" s="4">
        <f xml:space="preserve"> Time!O$12</f>
        <v>47361</v>
      </c>
      <c r="P2" s="4">
        <f xml:space="preserve"> Time!P$12</f>
        <v>47726</v>
      </c>
      <c r="Q2" s="4">
        <f xml:space="preserve"> Time!Q$12</f>
        <v>48091</v>
      </c>
      <c r="R2" s="4">
        <f xml:space="preserve"> Time!R$12</f>
        <v>48457</v>
      </c>
      <c r="S2" s="4">
        <f xml:space="preserve"> Time!S$12</f>
        <v>48822</v>
      </c>
    </row>
    <row r="3" spans="1:19" s="32" customFormat="1">
      <c r="A3" s="40"/>
      <c r="B3" s="40"/>
      <c r="C3" s="79"/>
      <c r="D3" s="82"/>
      <c r="E3" s="37" t="s">
        <v>107</v>
      </c>
      <c r="F3" s="51"/>
      <c r="G3" s="52" t="s">
        <v>45</v>
      </c>
      <c r="H3" s="17"/>
      <c r="I3" s="17"/>
      <c r="J3" s="5">
        <f xml:space="preserve"> Time!J$16</f>
        <v>1</v>
      </c>
      <c r="K3" s="5">
        <f xml:space="preserve"> Time!K$16</f>
        <v>2</v>
      </c>
      <c r="L3" s="5">
        <f xml:space="preserve"> Time!L$16</f>
        <v>3</v>
      </c>
      <c r="M3" s="5">
        <f xml:space="preserve"> Time!M$16</f>
        <v>4</v>
      </c>
      <c r="N3" s="5">
        <f xml:space="preserve"> Time!N$16</f>
        <v>5</v>
      </c>
      <c r="O3" s="5">
        <f xml:space="preserve"> Time!O$16</f>
        <v>6</v>
      </c>
      <c r="P3" s="5">
        <f xml:space="preserve"> Time!P$16</f>
        <v>7</v>
      </c>
      <c r="Q3" s="5">
        <f xml:space="preserve"> Time!Q$16</f>
        <v>8</v>
      </c>
      <c r="R3" s="5">
        <f xml:space="preserve"> Time!R$16</f>
        <v>9</v>
      </c>
      <c r="S3" s="5">
        <f xml:space="preserve"> Time!S$16</f>
        <v>10</v>
      </c>
    </row>
    <row r="4" spans="1:19" s="30" customFormat="1">
      <c r="A4" s="40"/>
      <c r="B4" s="40"/>
      <c r="C4" s="79"/>
      <c r="D4" s="82"/>
      <c r="E4" s="17" t="s">
        <v>179</v>
      </c>
      <c r="F4" s="20"/>
      <c r="G4" s="17"/>
      <c r="H4" s="17"/>
      <c r="I4" s="17"/>
    </row>
    <row r="5" spans="1:19" s="32" customFormat="1">
      <c r="A5" s="40"/>
      <c r="B5" s="40"/>
      <c r="C5" s="79"/>
      <c r="D5" s="82"/>
      <c r="E5" s="17" t="s">
        <v>165</v>
      </c>
      <c r="F5" s="20" t="s">
        <v>129</v>
      </c>
      <c r="G5" s="20" t="s">
        <v>118</v>
      </c>
      <c r="H5" s="20" t="s">
        <v>106</v>
      </c>
      <c r="I5" s="17"/>
      <c r="J5" s="8"/>
      <c r="K5" s="8"/>
      <c r="L5" s="8"/>
      <c r="M5" s="8"/>
      <c r="N5" s="8"/>
      <c r="O5" s="8"/>
    </row>
    <row r="6" spans="1:19" s="37" customFormat="1">
      <c r="A6" s="20"/>
      <c r="B6" s="20"/>
      <c r="C6" s="47"/>
      <c r="D6" s="87"/>
      <c r="F6" s="20"/>
      <c r="G6" s="20"/>
      <c r="H6" s="20"/>
    </row>
    <row r="9" spans="1:19">
      <c r="B9" s="20" t="s">
        <v>139</v>
      </c>
    </row>
  </sheetData>
  <conditionalFormatting sqref="F2:F3">
    <cfRule type="cellIs" dxfId="49" priority="1" stopIfTrue="1" operator="notEqual">
      <formula>0</formula>
    </cfRule>
    <cfRule type="cellIs" dxfId="48" priority="2" stopIfTrue="1" operator="equal">
      <formula>""</formula>
    </cfRule>
  </conditionalFormatting>
  <conditionalFormatting sqref="J3:S3">
    <cfRule type="cellIs" dxfId="47" priority="8" operator="equal">
      <formula>"PPA ext."</formula>
    </cfRule>
    <cfRule type="cellIs" dxfId="46" priority="9" operator="equal">
      <formula>"Delay"</formula>
    </cfRule>
    <cfRule type="cellIs" dxfId="45" priority="10" operator="equal">
      <formula>"Fin Close"</formula>
    </cfRule>
    <cfRule type="cellIs" dxfId="44" priority="11" stopIfTrue="1" operator="equal">
      <formula>"Construction"</formula>
    </cfRule>
    <cfRule type="cellIs" dxfId="43" priority="12" stopIfTrue="1" operator="equal">
      <formula>"Operations"</formula>
    </cfRule>
  </conditionalFormatting>
  <printOptions headings="1"/>
  <pageMargins left="0.74803149606299213" right="0.74803149606299213" top="0.98425196850393704" bottom="0.98425196850393704" header="0.51181102362204722" footer="0.51181102362204722"/>
  <pageSetup paperSize="9" scale="49" orientation="landscape" blackAndWhite="1"/>
  <headerFooter>
    <oddHeader>&amp;LPROJECT [XXX]&amp;CSheet:&amp;A&amp;RSTRICTLY CONFIDENTIAL</oddHeader>
    <oddFooter>&amp;L&amp;F ( Printed on &amp;D at &amp;T )&amp;RPage &amp;P of &amp;N</oddFooter>
  </headerFooter>
  <customProperties>
    <customPr name="MMGroup" r:id="rId1"/>
    <customPr name="MMSheetType" r:id="rId2"/>
    <customPr name="MMTimeAxis" r:id="rId3"/>
  </customPropertie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S9"/>
  <sheetViews>
    <sheetView defaultGridColor="0" colorId="22" zoomScale="80" workbookViewId="0">
      <pane xSplit="9" ySplit="5" topLeftCell="J6" activePane="bottomRight" state="frozen"/>
      <selection activeCell="J6" sqref="J6"/>
      <selection pane="topRight" activeCell="J6" sqref="J6"/>
      <selection pane="bottomLeft" activeCell="J6" sqref="J6"/>
      <selection pane="bottomRight" activeCell="J6" sqref="J6"/>
    </sheetView>
  </sheetViews>
  <sheetFormatPr defaultColWidth="0" defaultRowHeight="13"/>
  <cols>
    <col min="1" max="2" width="1.44140625" style="20" customWidth="1"/>
    <col min="3" max="3" width="1.44140625" style="47" customWidth="1"/>
    <col min="4" max="4" width="1.44140625" style="86" customWidth="1"/>
    <col min="5" max="5" width="23.33203125" style="48" bestFit="1" customWidth="1"/>
    <col min="6" max="6" width="20.88671875" style="48" bestFit="1" customWidth="1"/>
    <col min="7" max="7" width="13.21875" style="48" bestFit="1" customWidth="1"/>
    <col min="8" max="8" width="7.6640625" style="48" bestFit="1" customWidth="1"/>
    <col min="9" max="9" width="3.44140625" style="48" customWidth="1"/>
    <col min="10" max="19" width="12.33203125" style="48" bestFit="1" customWidth="1"/>
    <col min="20" max="20" width="15.109375" style="48" hidden="1" customWidth="1"/>
    <col min="21" max="16384" width="15.109375" style="48" hidden="1"/>
  </cols>
  <sheetData>
    <row r="1" spans="1:19" s="56" customFormat="1" ht="25">
      <c r="A1" s="46" t="str">
        <f ca="1" xml:space="preserve"> RIGHT(CELL("filename", A1), LEN(CELL("filename", A1)) - SEARCH("]", CELL("filename", A1)))</f>
        <v>Fund Structure</v>
      </c>
      <c r="B1" s="77"/>
      <c r="C1" s="78"/>
      <c r="D1" s="90"/>
      <c r="F1" s="49" t="str">
        <f>HYPERLINK("#Contents!A1","Go to contents")</f>
        <v>Go to contents</v>
      </c>
      <c r="H1" s="42"/>
      <c r="J1" s="42"/>
    </row>
    <row r="2" spans="1:19" s="50" customFormat="1">
      <c r="A2" s="40"/>
      <c r="B2" s="40"/>
      <c r="C2" s="79"/>
      <c r="D2" s="82"/>
      <c r="E2" s="17" t="s">
        <v>178</v>
      </c>
      <c r="F2" s="51">
        <v>0</v>
      </c>
      <c r="G2" s="52" t="s">
        <v>72</v>
      </c>
      <c r="H2" s="17"/>
      <c r="I2" s="17"/>
      <c r="J2" s="4">
        <f xml:space="preserve"> Time!J$12</f>
        <v>45535</v>
      </c>
      <c r="K2" s="4">
        <f xml:space="preserve"> Time!K$12</f>
        <v>45900</v>
      </c>
      <c r="L2" s="4">
        <f xml:space="preserve"> Time!L$12</f>
        <v>46265</v>
      </c>
      <c r="M2" s="4">
        <f xml:space="preserve"> Time!M$12</f>
        <v>46630</v>
      </c>
      <c r="N2" s="4">
        <f xml:space="preserve"> Time!N$12</f>
        <v>46996</v>
      </c>
      <c r="O2" s="4">
        <f xml:space="preserve"> Time!O$12</f>
        <v>47361</v>
      </c>
      <c r="P2" s="4">
        <f xml:space="preserve"> Time!P$12</f>
        <v>47726</v>
      </c>
      <c r="Q2" s="4">
        <f xml:space="preserve"> Time!Q$12</f>
        <v>48091</v>
      </c>
      <c r="R2" s="4">
        <f xml:space="preserve"> Time!R$12</f>
        <v>48457</v>
      </c>
      <c r="S2" s="4">
        <f xml:space="preserve"> Time!S$12</f>
        <v>48822</v>
      </c>
    </row>
    <row r="3" spans="1:19" s="32" customFormat="1">
      <c r="A3" s="40"/>
      <c r="B3" s="40"/>
      <c r="C3" s="79"/>
      <c r="D3" s="82"/>
      <c r="E3" s="37" t="s">
        <v>107</v>
      </c>
      <c r="F3" s="51"/>
      <c r="G3" s="52" t="s">
        <v>45</v>
      </c>
      <c r="H3" s="17"/>
      <c r="I3" s="17"/>
      <c r="J3" s="5">
        <f xml:space="preserve"> Time!J$16</f>
        <v>1</v>
      </c>
      <c r="K3" s="5">
        <f xml:space="preserve"> Time!K$16</f>
        <v>2</v>
      </c>
      <c r="L3" s="5">
        <f xml:space="preserve"> Time!L$16</f>
        <v>3</v>
      </c>
      <c r="M3" s="5">
        <f xml:space="preserve"> Time!M$16</f>
        <v>4</v>
      </c>
      <c r="N3" s="5">
        <f xml:space="preserve"> Time!N$16</f>
        <v>5</v>
      </c>
      <c r="O3" s="5">
        <f xml:space="preserve"> Time!O$16</f>
        <v>6</v>
      </c>
      <c r="P3" s="5">
        <f xml:space="preserve"> Time!P$16</f>
        <v>7</v>
      </c>
      <c r="Q3" s="5">
        <f xml:space="preserve"> Time!Q$16</f>
        <v>8</v>
      </c>
      <c r="R3" s="5">
        <f xml:space="preserve"> Time!R$16</f>
        <v>9</v>
      </c>
      <c r="S3" s="5">
        <f xml:space="preserve"> Time!S$16</f>
        <v>10</v>
      </c>
    </row>
    <row r="4" spans="1:19" s="30" customFormat="1">
      <c r="A4" s="40"/>
      <c r="B4" s="40"/>
      <c r="C4" s="79"/>
      <c r="D4" s="82"/>
      <c r="E4" s="17" t="s">
        <v>179</v>
      </c>
      <c r="F4" s="20"/>
      <c r="G4" s="17"/>
      <c r="H4" s="17"/>
      <c r="I4" s="17"/>
    </row>
    <row r="5" spans="1:19" s="32" customFormat="1">
      <c r="A5" s="40"/>
      <c r="B5" s="40"/>
      <c r="C5" s="79"/>
      <c r="D5" s="82"/>
      <c r="E5" s="17" t="s">
        <v>165</v>
      </c>
      <c r="F5" s="20" t="s">
        <v>129</v>
      </c>
      <c r="G5" s="20" t="s">
        <v>118</v>
      </c>
      <c r="H5" s="20" t="s">
        <v>106</v>
      </c>
      <c r="I5" s="17"/>
      <c r="J5" s="8"/>
      <c r="K5" s="8"/>
      <c r="L5" s="8"/>
      <c r="M5" s="8"/>
      <c r="N5" s="8"/>
      <c r="O5" s="8"/>
    </row>
    <row r="6" spans="1:19" s="37" customFormat="1">
      <c r="A6" s="20"/>
      <c r="B6" s="20"/>
      <c r="C6" s="47"/>
      <c r="D6" s="87"/>
      <c r="F6" s="20"/>
      <c r="G6" s="20"/>
      <c r="H6" s="20"/>
    </row>
    <row r="9" spans="1:19">
      <c r="B9" s="20" t="s">
        <v>139</v>
      </c>
    </row>
  </sheetData>
  <conditionalFormatting sqref="F2:F3">
    <cfRule type="cellIs" dxfId="42" priority="1" stopIfTrue="1" operator="notEqual">
      <formula>0</formula>
    </cfRule>
    <cfRule type="cellIs" dxfId="41" priority="2" stopIfTrue="1" operator="equal">
      <formula>""</formula>
    </cfRule>
  </conditionalFormatting>
  <conditionalFormatting sqref="J3:S3">
    <cfRule type="cellIs" dxfId="40" priority="8" operator="equal">
      <formula>"PPA ext."</formula>
    </cfRule>
    <cfRule type="cellIs" dxfId="39" priority="9" operator="equal">
      <formula>"Delay"</formula>
    </cfRule>
    <cfRule type="cellIs" dxfId="38" priority="10" operator="equal">
      <formula>"Fin Close"</formula>
    </cfRule>
    <cfRule type="cellIs" dxfId="37" priority="11" stopIfTrue="1" operator="equal">
      <formula>"Construction"</formula>
    </cfRule>
    <cfRule type="cellIs" dxfId="36" priority="12" stopIfTrue="1" operator="equal">
      <formula>"Operations"</formula>
    </cfRule>
  </conditionalFormatting>
  <printOptions headings="1"/>
  <pageMargins left="0.74803149606299213" right="0.74803149606299213" top="0.98425196850393704" bottom="0.98425196850393704" header="0.51181102362204722" footer="0.51181102362204722"/>
  <pageSetup paperSize="9" scale="49" orientation="landscape" blackAndWhite="1"/>
  <headerFooter>
    <oddHeader>&amp;LPROJECT [XXX]&amp;CSheet:&amp;A&amp;RSTRICTLY CONFIDENTIAL</oddHeader>
    <oddFooter>&amp;L&amp;F ( Printed on &amp;D at &amp;T )&amp;RPage &amp;P of &amp;N</oddFooter>
  </headerFooter>
  <customProperties>
    <customPr name="MMGroup" r:id="rId1"/>
    <customPr name="MMSheetType" r:id="rId2"/>
    <customPr name="MMTimeAxis" r:id="rId3"/>
  </customPropertie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4F81BD"/>
    <outlinePr summaryBelow="0" summaryRight="0"/>
  </sheetPr>
  <dimension ref="A1:S48"/>
  <sheetViews>
    <sheetView showGridLines="0" zoomScale="80" workbookViewId="0">
      <pane xSplit="9" ySplit="5" topLeftCell="J6" activePane="bottomRight" state="frozen"/>
      <selection activeCell="J6" sqref="J6"/>
      <selection pane="topRight" activeCell="J6" sqref="J6"/>
      <selection pane="bottomLeft" activeCell="J6" sqref="J6"/>
      <selection pane="bottomRight" activeCell="J6" sqref="J6"/>
    </sheetView>
  </sheetViews>
  <sheetFormatPr defaultColWidth="0" defaultRowHeight="13"/>
  <cols>
    <col min="1" max="2" width="1.44140625" style="27" customWidth="1"/>
    <col min="3" max="3" width="1.44140625" style="69" customWidth="1"/>
    <col min="4" max="4" width="1.44140625" style="111" customWidth="1"/>
    <col min="5" max="5" width="44.88671875" bestFit="1" customWidth="1"/>
    <col min="6" max="6" width="20.88671875" bestFit="1" customWidth="1"/>
    <col min="7" max="7" width="13.21875" bestFit="1" customWidth="1"/>
    <col min="8" max="8" width="14.33203125" style="41" bestFit="1" customWidth="1"/>
    <col min="9" max="9" width="3.44140625" customWidth="1"/>
    <col min="10" max="12" width="12.33203125" bestFit="1" customWidth="1"/>
    <col min="13" max="19" width="13" bestFit="1" customWidth="1"/>
    <col min="20" max="20" width="15.109375" hidden="1" customWidth="1"/>
    <col min="21" max="16384" width="15.109375" hidden="1"/>
  </cols>
  <sheetData>
    <row r="1" spans="1:19" s="110" customFormat="1" ht="25">
      <c r="A1" s="46" t="str">
        <f ca="1" xml:space="preserve"> RIGHT(CELL("filename", A1), LEN(CELL("filename", A1)) - SEARCH("]", CELL("filename", A1)))</f>
        <v>Company Report</v>
      </c>
      <c r="B1" s="104"/>
      <c r="C1" s="103"/>
      <c r="D1" s="106"/>
      <c r="F1" s="49" t="str">
        <f>HYPERLINK("#Contents!A1","Go to contents")</f>
        <v>Go to contents</v>
      </c>
      <c r="H1" s="68"/>
      <c r="J1" s="68"/>
    </row>
    <row r="2" spans="1:19" s="50" customFormat="1">
      <c r="A2" s="66"/>
      <c r="B2" s="66"/>
      <c r="C2" s="102"/>
      <c r="D2" s="114"/>
      <c r="E2" s="17" t="s">
        <v>178</v>
      </c>
      <c r="F2" s="51">
        <v>0</v>
      </c>
      <c r="G2" s="52" t="s">
        <v>72</v>
      </c>
      <c r="H2" s="75"/>
      <c r="I2" s="75"/>
      <c r="J2" s="4">
        <f xml:space="preserve"> Time!J$12</f>
        <v>45535</v>
      </c>
      <c r="K2" s="4">
        <f xml:space="preserve"> Time!K$12</f>
        <v>45900</v>
      </c>
      <c r="L2" s="4">
        <f xml:space="preserve"> Time!L$12</f>
        <v>46265</v>
      </c>
      <c r="M2" s="4">
        <f xml:space="preserve"> Time!M$12</f>
        <v>46630</v>
      </c>
      <c r="N2" s="4">
        <f xml:space="preserve"> Time!N$12</f>
        <v>46996</v>
      </c>
      <c r="O2" s="4">
        <f xml:space="preserve"> Time!O$12</f>
        <v>47361</v>
      </c>
      <c r="P2" s="4">
        <f xml:space="preserve"> Time!P$12</f>
        <v>47726</v>
      </c>
      <c r="Q2" s="4">
        <f xml:space="preserve"> Time!Q$12</f>
        <v>48091</v>
      </c>
      <c r="R2" s="4">
        <f xml:space="preserve"> Time!R$12</f>
        <v>48457</v>
      </c>
      <c r="S2" s="4">
        <f xml:space="preserve"> Time!S$12</f>
        <v>48822</v>
      </c>
    </row>
    <row r="3" spans="1:19" s="32" customFormat="1">
      <c r="A3" s="66"/>
      <c r="B3" s="66"/>
      <c r="C3" s="102"/>
      <c r="D3" s="114"/>
      <c r="E3" s="37" t="s">
        <v>107</v>
      </c>
      <c r="F3" s="51"/>
      <c r="G3" s="52" t="s">
        <v>45</v>
      </c>
      <c r="H3" s="75"/>
      <c r="I3" s="75"/>
      <c r="J3" s="5">
        <f xml:space="preserve"> Time!J$16</f>
        <v>1</v>
      </c>
      <c r="K3" s="5">
        <f xml:space="preserve"> Time!K$16</f>
        <v>2</v>
      </c>
      <c r="L3" s="5">
        <f xml:space="preserve"> Time!L$16</f>
        <v>3</v>
      </c>
      <c r="M3" s="5">
        <f xml:space="preserve"> Time!M$16</f>
        <v>4</v>
      </c>
      <c r="N3" s="5">
        <f xml:space="preserve"> Time!N$16</f>
        <v>5</v>
      </c>
      <c r="O3" s="5">
        <f xml:space="preserve"> Time!O$16</f>
        <v>6</v>
      </c>
      <c r="P3" s="5">
        <f xml:space="preserve"> Time!P$16</f>
        <v>7</v>
      </c>
      <c r="Q3" s="5">
        <f xml:space="preserve"> Time!Q$16</f>
        <v>8</v>
      </c>
      <c r="R3" s="5">
        <f xml:space="preserve"> Time!R$16</f>
        <v>9</v>
      </c>
      <c r="S3" s="5">
        <f xml:space="preserve"> Time!S$16</f>
        <v>10</v>
      </c>
    </row>
    <row r="4" spans="1:19" s="30" customFormat="1">
      <c r="A4" s="66"/>
      <c r="B4" s="66"/>
      <c r="C4" s="102"/>
      <c r="D4" s="114"/>
      <c r="E4" s="17" t="s">
        <v>179</v>
      </c>
      <c r="F4"/>
      <c r="G4"/>
      <c r="H4" s="75"/>
      <c r="I4" s="75"/>
    </row>
    <row r="5" spans="1:19" s="32" customFormat="1">
      <c r="A5" s="66"/>
      <c r="B5" s="66"/>
      <c r="C5" s="102"/>
      <c r="D5" s="114"/>
      <c r="E5" s="17" t="s">
        <v>165</v>
      </c>
      <c r="F5" s="27" t="s">
        <v>129</v>
      </c>
      <c r="G5" s="27" t="s">
        <v>118</v>
      </c>
      <c r="H5" s="27" t="s">
        <v>106</v>
      </c>
      <c r="I5" s="75"/>
      <c r="J5" s="8"/>
      <c r="K5" s="8"/>
      <c r="L5" s="8"/>
      <c r="M5" s="8"/>
      <c r="N5" s="8"/>
      <c r="O5" s="8"/>
      <c r="P5" s="8"/>
    </row>
    <row r="6" spans="1:19" s="41" customFormat="1">
      <c r="A6" s="27"/>
      <c r="B6" s="27"/>
      <c r="C6" s="69"/>
      <c r="D6" s="107"/>
      <c r="F6" s="27"/>
      <c r="G6" s="27"/>
      <c r="H6" s="27"/>
    </row>
    <row r="8" spans="1:19">
      <c r="B8" s="27" t="s">
        <v>4</v>
      </c>
    </row>
    <row r="9" spans="1:19">
      <c r="E9" s="25" t="str">
        <f xml:space="preserve"> 'Company Capital Structure'!E$14</f>
        <v>Loan Note</v>
      </c>
      <c r="F9" s="25">
        <f xml:space="preserve"> 'Company Capital Structure'!F$14</f>
        <v>0</v>
      </c>
      <c r="G9" s="25" t="str">
        <f xml:space="preserve"> 'Company Capital Structure'!G$14</f>
        <v>GBP</v>
      </c>
      <c r="H9" s="84">
        <f xml:space="preserve"> 'Company Capital Structure'!H$14</f>
        <v>0</v>
      </c>
      <c r="I9" s="25">
        <f xml:space="preserve"> 'Company Capital Structure'!I$14</f>
        <v>0</v>
      </c>
      <c r="J9" s="11">
        <f>'Company Capital Structure'!J$14</f>
        <v>150000</v>
      </c>
      <c r="K9" s="11">
        <f>'Company Capital Structure'!K$14</f>
        <v>500000</v>
      </c>
      <c r="L9" s="11">
        <f>'Company Capital Structure'!L$14</f>
        <v>1250000</v>
      </c>
      <c r="M9" s="11">
        <f>'Company Capital Structure'!M$14</f>
        <v>2750000</v>
      </c>
      <c r="N9" s="11">
        <f>'Company Capital Structure'!N$14</f>
        <v>2750000</v>
      </c>
      <c r="O9" s="11">
        <f>'Company Capital Structure'!O$14</f>
        <v>2750000</v>
      </c>
      <c r="P9" s="11">
        <f>'Company Capital Structure'!P$14</f>
        <v>2750000</v>
      </c>
      <c r="Q9" s="11">
        <f>'Company Capital Structure'!Q$14</f>
        <v>2750000</v>
      </c>
      <c r="R9" s="11">
        <f>'Company Capital Structure'!R$14</f>
        <v>2750000</v>
      </c>
      <c r="S9" s="11">
        <f>'Company Capital Structure'!S$14</f>
        <v>2750000</v>
      </c>
    </row>
    <row r="10" spans="1:19">
      <c r="E10" s="16" t="s">
        <v>95</v>
      </c>
      <c r="F10" s="55"/>
      <c r="G10" s="16" t="s">
        <v>132</v>
      </c>
      <c r="H10" s="98"/>
      <c r="I10" s="55"/>
      <c r="J10" s="16">
        <f t="shared" ref="J10:S10" si="0" xml:space="preserve"> J9</f>
        <v>150000</v>
      </c>
      <c r="K10" s="16">
        <f t="shared" si="0"/>
        <v>500000</v>
      </c>
      <c r="L10" s="16">
        <f t="shared" si="0"/>
        <v>1250000</v>
      </c>
      <c r="M10" s="16">
        <f t="shared" si="0"/>
        <v>2750000</v>
      </c>
      <c r="N10" s="16">
        <f t="shared" si="0"/>
        <v>2750000</v>
      </c>
      <c r="O10" s="16">
        <f t="shared" si="0"/>
        <v>2750000</v>
      </c>
      <c r="P10" s="16">
        <f t="shared" si="0"/>
        <v>2750000</v>
      </c>
      <c r="Q10" s="16">
        <f t="shared" si="0"/>
        <v>2750000</v>
      </c>
      <c r="R10" s="16">
        <f t="shared" si="0"/>
        <v>2750000</v>
      </c>
      <c r="S10" s="16">
        <f t="shared" si="0"/>
        <v>2750000</v>
      </c>
    </row>
    <row r="12" spans="1:19">
      <c r="B12" s="27" t="s">
        <v>158</v>
      </c>
    </row>
    <row r="13" spans="1:19">
      <c r="E13" s="57" t="str">
        <f xml:space="preserve"> 'Company Capital Structure'!E$66</f>
        <v>Sector Cofounder Shares</v>
      </c>
      <c r="F13" s="57">
        <f xml:space="preserve"> 'Company Capital Structure'!F$66</f>
        <v>0</v>
      </c>
      <c r="G13" s="57" t="str">
        <f xml:space="preserve"> 'Company Capital Structure'!G$66</f>
        <v>Shares</v>
      </c>
      <c r="H13" s="134">
        <f xml:space="preserve"> 'Company Capital Structure'!H$66</f>
        <v>0</v>
      </c>
      <c r="I13" s="57">
        <f xml:space="preserve"> 'Company Capital Structure'!I$66</f>
        <v>400</v>
      </c>
      <c r="J13" s="26">
        <f>'Company Capital Structure'!J$66</f>
        <v>400</v>
      </c>
      <c r="K13" s="26">
        <f>'Company Capital Structure'!K$66</f>
        <v>400</v>
      </c>
      <c r="L13" s="26">
        <f>'Company Capital Structure'!L$66</f>
        <v>400</v>
      </c>
      <c r="M13" s="26">
        <f>'Company Capital Structure'!M$66</f>
        <v>400</v>
      </c>
      <c r="N13" s="26">
        <f>'Company Capital Structure'!N$66</f>
        <v>400</v>
      </c>
      <c r="O13" s="26">
        <f>'Company Capital Structure'!O$66</f>
        <v>400</v>
      </c>
      <c r="P13" s="26">
        <f>'Company Capital Structure'!P$66</f>
        <v>400</v>
      </c>
      <c r="Q13" s="26">
        <f>'Company Capital Structure'!Q$66</f>
        <v>400</v>
      </c>
      <c r="R13" s="26">
        <f>'Company Capital Structure'!R$66</f>
        <v>400</v>
      </c>
      <c r="S13" s="26">
        <f>'Company Capital Structure'!S$66</f>
        <v>400</v>
      </c>
    </row>
    <row r="14" spans="1:19">
      <c r="E14" s="57" t="str">
        <f xml:space="preserve"> 'Company Capital Structure'!E$59</f>
        <v>Studio Cofounder Shares</v>
      </c>
      <c r="F14" s="57">
        <f xml:space="preserve"> 'Company Capital Structure'!F$59</f>
        <v>0</v>
      </c>
      <c r="G14" s="57" t="str">
        <f xml:space="preserve"> 'Company Capital Structure'!G$59</f>
        <v>Shares</v>
      </c>
      <c r="H14" s="134">
        <f xml:space="preserve"> 'Company Capital Structure'!H$59</f>
        <v>0</v>
      </c>
      <c r="I14" s="57">
        <f xml:space="preserve"> 'Company Capital Structure'!I$59</f>
        <v>100</v>
      </c>
      <c r="J14" s="26">
        <f>'Company Capital Structure'!J$59</f>
        <v>100</v>
      </c>
      <c r="K14" s="26">
        <f>'Company Capital Structure'!K$59</f>
        <v>100</v>
      </c>
      <c r="L14" s="26">
        <f>'Company Capital Structure'!L$59</f>
        <v>100</v>
      </c>
      <c r="M14" s="26">
        <f>'Company Capital Structure'!M$59</f>
        <v>100</v>
      </c>
      <c r="N14" s="26">
        <f>'Company Capital Structure'!N$59</f>
        <v>100</v>
      </c>
      <c r="O14" s="26">
        <f>'Company Capital Structure'!O$59</f>
        <v>100</v>
      </c>
      <c r="P14" s="26">
        <f>'Company Capital Structure'!P$59</f>
        <v>100</v>
      </c>
      <c r="Q14" s="26">
        <f>'Company Capital Structure'!Q$59</f>
        <v>100</v>
      </c>
      <c r="R14" s="26">
        <f>'Company Capital Structure'!R$59</f>
        <v>100</v>
      </c>
      <c r="S14" s="26">
        <f>'Company Capital Structure'!S$59</f>
        <v>100</v>
      </c>
    </row>
    <row r="15" spans="1:19">
      <c r="E15" s="57" t="str">
        <f xml:space="preserve"> 'Company Capital Structure'!E$73</f>
        <v>Investor Cofounder Shares</v>
      </c>
      <c r="F15" s="57">
        <f xml:space="preserve"> 'Company Capital Structure'!F$73</f>
        <v>0</v>
      </c>
      <c r="G15" s="57" t="str">
        <f xml:space="preserve"> 'Company Capital Structure'!G$73</f>
        <v>Shares</v>
      </c>
      <c r="H15" s="134">
        <f xml:space="preserve"> 'Company Capital Structure'!H$73</f>
        <v>0</v>
      </c>
      <c r="I15" s="57">
        <f xml:space="preserve"> 'Company Capital Structure'!I$73</f>
        <v>500</v>
      </c>
      <c r="J15" s="26">
        <f>'Company Capital Structure'!J$73</f>
        <v>500</v>
      </c>
      <c r="K15" s="26">
        <f>'Company Capital Structure'!K$73</f>
        <v>500</v>
      </c>
      <c r="L15" s="26">
        <f>'Company Capital Structure'!L$73</f>
        <v>500</v>
      </c>
      <c r="M15" s="26">
        <f>'Company Capital Structure'!M$73</f>
        <v>500</v>
      </c>
      <c r="N15" s="26">
        <f>'Company Capital Structure'!N$73</f>
        <v>500</v>
      </c>
      <c r="O15" s="26">
        <f>'Company Capital Structure'!O$73</f>
        <v>500</v>
      </c>
      <c r="P15" s="26">
        <f>'Company Capital Structure'!P$73</f>
        <v>500</v>
      </c>
      <c r="Q15" s="26">
        <f>'Company Capital Structure'!Q$73</f>
        <v>500</v>
      </c>
      <c r="R15" s="26">
        <f>'Company Capital Structure'!R$73</f>
        <v>500</v>
      </c>
      <c r="S15" s="26">
        <f>'Company Capital Structure'!S$73</f>
        <v>500</v>
      </c>
    </row>
    <row r="16" spans="1:19">
      <c r="E16" s="57" t="str">
        <f xml:space="preserve"> 'Company Capital Structure'!E$80</f>
        <v>Other Investor Shares</v>
      </c>
      <c r="F16" s="57">
        <f xml:space="preserve"> 'Company Capital Structure'!F$80</f>
        <v>0</v>
      </c>
      <c r="G16" s="57" t="str">
        <f xml:space="preserve"> 'Company Capital Structure'!G$80</f>
        <v>Shares</v>
      </c>
      <c r="H16" s="134">
        <f xml:space="preserve"> 'Company Capital Structure'!H$80</f>
        <v>0</v>
      </c>
      <c r="I16" s="57">
        <f xml:space="preserve"> 'Company Capital Structure'!I$80</f>
        <v>0</v>
      </c>
      <c r="J16" s="26">
        <f>'Company Capital Structure'!J$80</f>
        <v>0</v>
      </c>
      <c r="K16" s="26">
        <f>'Company Capital Structure'!K$80</f>
        <v>100</v>
      </c>
      <c r="L16" s="26">
        <f>'Company Capital Structure'!L$80</f>
        <v>294.11764705882354</v>
      </c>
      <c r="M16" s="26">
        <f>'Company Capital Structure'!M$80</f>
        <v>522.49134948096889</v>
      </c>
      <c r="N16" s="26">
        <f>'Company Capital Structure'!N$80</f>
        <v>522.49134948096889</v>
      </c>
      <c r="O16" s="26">
        <f>'Company Capital Structure'!O$80</f>
        <v>522.49134948096889</v>
      </c>
      <c r="P16" s="26">
        <f>'Company Capital Structure'!P$80</f>
        <v>522.49134948096889</v>
      </c>
      <c r="Q16" s="26">
        <f>'Company Capital Structure'!Q$80</f>
        <v>522.49134948096889</v>
      </c>
      <c r="R16" s="26">
        <f>'Company Capital Structure'!R$80</f>
        <v>522.49134948096889</v>
      </c>
      <c r="S16" s="26">
        <f>'Company Capital Structure'!S$80</f>
        <v>522.49134948096889</v>
      </c>
    </row>
    <row r="17" spans="2:19">
      <c r="E17" s="16" t="s">
        <v>159</v>
      </c>
      <c r="F17" s="55"/>
      <c r="G17" s="16" t="s">
        <v>132</v>
      </c>
      <c r="H17" s="98"/>
      <c r="I17" s="55"/>
      <c r="J17" s="16">
        <f t="shared" ref="J17:S17" si="1" xml:space="preserve"> SUM( J13:J16 )</f>
        <v>1000</v>
      </c>
      <c r="K17" s="16">
        <f t="shared" si="1"/>
        <v>1100</v>
      </c>
      <c r="L17" s="16">
        <f t="shared" si="1"/>
        <v>1294.1176470588234</v>
      </c>
      <c r="M17" s="16">
        <f t="shared" si="1"/>
        <v>1522.4913494809689</v>
      </c>
      <c r="N17" s="16">
        <f t="shared" si="1"/>
        <v>1522.4913494809689</v>
      </c>
      <c r="O17" s="16">
        <f t="shared" si="1"/>
        <v>1522.4913494809689</v>
      </c>
      <c r="P17" s="16">
        <f t="shared" si="1"/>
        <v>1522.4913494809689</v>
      </c>
      <c r="Q17" s="16">
        <f t="shared" si="1"/>
        <v>1522.4913494809689</v>
      </c>
      <c r="R17" s="16">
        <f t="shared" si="1"/>
        <v>1522.4913494809689</v>
      </c>
      <c r="S17" s="16">
        <f t="shared" si="1"/>
        <v>1522.4913494809689</v>
      </c>
    </row>
    <row r="19" spans="2:19">
      <c r="B19" s="27" t="s">
        <v>7</v>
      </c>
    </row>
    <row r="20" spans="2:19">
      <c r="E20" s="85" t="str">
        <f xml:space="preserve"> 'Company Capital Structure'!E$86</f>
        <v>Sector Cofounder %</v>
      </c>
      <c r="F20" s="85">
        <f xml:space="preserve"> 'Company Capital Structure'!F$86</f>
        <v>0</v>
      </c>
      <c r="G20" s="85" t="str">
        <f xml:space="preserve"> 'Company Capital Structure'!G$86</f>
        <v>%</v>
      </c>
      <c r="H20" s="190">
        <f xml:space="preserve"> 'Company Capital Structure'!H$86</f>
        <v>0</v>
      </c>
      <c r="I20" s="85">
        <f xml:space="preserve"> 'Company Capital Structure'!I$86</f>
        <v>0</v>
      </c>
      <c r="J20" s="39">
        <f>'Company Capital Structure'!J$86</f>
        <v>0.4</v>
      </c>
      <c r="K20" s="39">
        <f>'Company Capital Structure'!K$86</f>
        <v>0.36363636363636365</v>
      </c>
      <c r="L20" s="39">
        <f>'Company Capital Structure'!L$86</f>
        <v>0.30909090909090914</v>
      </c>
      <c r="M20" s="39">
        <f>'Company Capital Structure'!M$86</f>
        <v>0.2627272727272727</v>
      </c>
      <c r="N20" s="39">
        <f>'Company Capital Structure'!N$86</f>
        <v>0.2627272727272727</v>
      </c>
      <c r="O20" s="39">
        <f>'Company Capital Structure'!O$86</f>
        <v>0.2627272727272727</v>
      </c>
      <c r="P20" s="39">
        <f>'Company Capital Structure'!P$86</f>
        <v>0.2627272727272727</v>
      </c>
      <c r="Q20" s="39">
        <f>'Company Capital Structure'!Q$86</f>
        <v>0.2627272727272727</v>
      </c>
      <c r="R20" s="39">
        <f>'Company Capital Structure'!R$86</f>
        <v>0.2627272727272727</v>
      </c>
      <c r="S20" s="39">
        <f>'Company Capital Structure'!S$86</f>
        <v>0.2627272727272727</v>
      </c>
    </row>
    <row r="21" spans="2:19">
      <c r="E21" s="85" t="str">
        <f xml:space="preserve"> 'Company Capital Structure'!E$92</f>
        <v>Studio Cofounder %</v>
      </c>
      <c r="F21" s="85">
        <f xml:space="preserve"> 'Company Capital Structure'!F$92</f>
        <v>0</v>
      </c>
      <c r="G21" s="85" t="str">
        <f xml:space="preserve"> 'Company Capital Structure'!G$92</f>
        <v>%</v>
      </c>
      <c r="H21" s="190">
        <f xml:space="preserve"> 'Company Capital Structure'!H$92</f>
        <v>0</v>
      </c>
      <c r="I21" s="85">
        <f xml:space="preserve"> 'Company Capital Structure'!I$92</f>
        <v>0</v>
      </c>
      <c r="J21" s="39">
        <f>'Company Capital Structure'!J$92</f>
        <v>0.1</v>
      </c>
      <c r="K21" s="39">
        <f>'Company Capital Structure'!K$92</f>
        <v>9.0909090909090912E-2</v>
      </c>
      <c r="L21" s="39">
        <f>'Company Capital Structure'!L$92</f>
        <v>7.7272727272727285E-2</v>
      </c>
      <c r="M21" s="39">
        <f>'Company Capital Structure'!M$92</f>
        <v>6.5681818181818175E-2</v>
      </c>
      <c r="N21" s="39">
        <f>'Company Capital Structure'!N$92</f>
        <v>6.5681818181818175E-2</v>
      </c>
      <c r="O21" s="39">
        <f>'Company Capital Structure'!O$92</f>
        <v>6.5681818181818175E-2</v>
      </c>
      <c r="P21" s="39">
        <f>'Company Capital Structure'!P$92</f>
        <v>6.5681818181818175E-2</v>
      </c>
      <c r="Q21" s="39">
        <f>'Company Capital Structure'!Q$92</f>
        <v>6.5681818181818175E-2</v>
      </c>
      <c r="R21" s="39">
        <f>'Company Capital Structure'!R$92</f>
        <v>6.5681818181818175E-2</v>
      </c>
      <c r="S21" s="39">
        <f>'Company Capital Structure'!S$92</f>
        <v>6.5681818181818175E-2</v>
      </c>
    </row>
    <row r="22" spans="2:19">
      <c r="E22" s="85" t="str">
        <f xml:space="preserve"> 'Company Capital Structure'!E$98</f>
        <v>Investor Cofounder %</v>
      </c>
      <c r="F22" s="85">
        <f xml:space="preserve"> 'Company Capital Structure'!F$98</f>
        <v>0</v>
      </c>
      <c r="G22" s="85" t="str">
        <f xml:space="preserve"> 'Company Capital Structure'!G$98</f>
        <v>%</v>
      </c>
      <c r="H22" s="190">
        <f xml:space="preserve"> 'Company Capital Structure'!H$98</f>
        <v>0</v>
      </c>
      <c r="I22" s="85">
        <f xml:space="preserve"> 'Company Capital Structure'!I$98</f>
        <v>0</v>
      </c>
      <c r="J22" s="39">
        <f>'Company Capital Structure'!J$98</f>
        <v>0.5</v>
      </c>
      <c r="K22" s="39">
        <f>'Company Capital Structure'!K$98</f>
        <v>0.45454545454545453</v>
      </c>
      <c r="L22" s="39">
        <f>'Company Capital Structure'!L$98</f>
        <v>0.38636363636363641</v>
      </c>
      <c r="M22" s="39">
        <f>'Company Capital Structure'!M$98</f>
        <v>0.32840909090909093</v>
      </c>
      <c r="N22" s="39">
        <f>'Company Capital Structure'!N$98</f>
        <v>0.32840909090909093</v>
      </c>
      <c r="O22" s="39">
        <f>'Company Capital Structure'!O$98</f>
        <v>0.32840909090909093</v>
      </c>
      <c r="P22" s="39">
        <f>'Company Capital Structure'!P$98</f>
        <v>0.32840909090909093</v>
      </c>
      <c r="Q22" s="39">
        <f>'Company Capital Structure'!Q$98</f>
        <v>0.32840909090909093</v>
      </c>
      <c r="R22" s="39">
        <f>'Company Capital Structure'!R$98</f>
        <v>0.32840909090909093</v>
      </c>
      <c r="S22" s="39">
        <f>'Company Capital Structure'!S$98</f>
        <v>0.32840909090909093</v>
      </c>
    </row>
    <row r="23" spans="2:19">
      <c r="E23" s="85" t="str">
        <f xml:space="preserve"> 'Company Capital Structure'!E$104</f>
        <v>Other Investor %</v>
      </c>
      <c r="F23" s="85">
        <f xml:space="preserve"> 'Company Capital Structure'!F$104</f>
        <v>0</v>
      </c>
      <c r="G23" s="85" t="str">
        <f xml:space="preserve"> 'Company Capital Structure'!G$104</f>
        <v>%</v>
      </c>
      <c r="H23" s="190">
        <f xml:space="preserve"> 'Company Capital Structure'!H$104</f>
        <v>0</v>
      </c>
      <c r="I23" s="85">
        <f xml:space="preserve"> 'Company Capital Structure'!I$104</f>
        <v>0</v>
      </c>
      <c r="J23" s="39">
        <f>'Company Capital Structure'!J$104</f>
        <v>0</v>
      </c>
      <c r="K23" s="39">
        <f>'Company Capital Structure'!K$104</f>
        <v>9.0909090909090912E-2</v>
      </c>
      <c r="L23" s="39">
        <f>'Company Capital Structure'!L$104</f>
        <v>0.22727272727272729</v>
      </c>
      <c r="M23" s="39">
        <f>'Company Capital Structure'!M$104</f>
        <v>0.3431818181818182</v>
      </c>
      <c r="N23" s="39">
        <f>'Company Capital Structure'!N$104</f>
        <v>0.3431818181818182</v>
      </c>
      <c r="O23" s="39">
        <f>'Company Capital Structure'!O$104</f>
        <v>0.3431818181818182</v>
      </c>
      <c r="P23" s="39">
        <f>'Company Capital Structure'!P$104</f>
        <v>0.3431818181818182</v>
      </c>
      <c r="Q23" s="39">
        <f>'Company Capital Structure'!Q$104</f>
        <v>0.3431818181818182</v>
      </c>
      <c r="R23" s="39">
        <f>'Company Capital Structure'!R$104</f>
        <v>0.3431818181818182</v>
      </c>
      <c r="S23" s="39">
        <f>'Company Capital Structure'!S$104</f>
        <v>0.3431818181818182</v>
      </c>
    </row>
    <row r="24" spans="2:19">
      <c r="E24" s="184" t="s">
        <v>160</v>
      </c>
      <c r="F24" s="198"/>
      <c r="G24" s="184" t="s">
        <v>111</v>
      </c>
      <c r="H24" s="268"/>
      <c r="I24" s="198"/>
      <c r="J24" s="67">
        <f t="shared" ref="J24:S24" si="2" xml:space="preserve"> SUM( J20:J23 )</f>
        <v>1</v>
      </c>
      <c r="K24" s="67">
        <f t="shared" si="2"/>
        <v>1</v>
      </c>
      <c r="L24" s="67">
        <f t="shared" si="2"/>
        <v>1</v>
      </c>
      <c r="M24" s="67">
        <f t="shared" si="2"/>
        <v>1</v>
      </c>
      <c r="N24" s="67">
        <f t="shared" si="2"/>
        <v>1</v>
      </c>
      <c r="O24" s="67">
        <f t="shared" si="2"/>
        <v>1</v>
      </c>
      <c r="P24" s="67">
        <f t="shared" si="2"/>
        <v>1</v>
      </c>
      <c r="Q24" s="67">
        <f t="shared" si="2"/>
        <v>1</v>
      </c>
      <c r="R24" s="67">
        <f t="shared" si="2"/>
        <v>1</v>
      </c>
      <c r="S24" s="67">
        <f t="shared" si="2"/>
        <v>1</v>
      </c>
    </row>
    <row r="26" spans="2:19">
      <c r="B26" s="27" t="s">
        <v>82</v>
      </c>
    </row>
    <row r="27" spans="2:19">
      <c r="E27" s="25" t="str">
        <f xml:space="preserve"> InpS!E$20</f>
        <v>Pre-Money Valuation</v>
      </c>
      <c r="F27" s="25">
        <f xml:space="preserve"> InpS!F$20</f>
        <v>0</v>
      </c>
      <c r="G27" s="25" t="str">
        <f xml:space="preserve"> InpS!G$20</f>
        <v>GBP</v>
      </c>
      <c r="H27" s="84">
        <f xml:space="preserve"> InpS!H$20</f>
        <v>15250000</v>
      </c>
      <c r="I27" s="25">
        <f xml:space="preserve"> InpS!I$20</f>
        <v>0</v>
      </c>
      <c r="J27" s="11">
        <f xml:space="preserve"> InpS!J$20</f>
        <v>0</v>
      </c>
      <c r="K27" s="11">
        <f xml:space="preserve"> InpS!K$20</f>
        <v>2500000</v>
      </c>
      <c r="L27" s="11">
        <f xml:space="preserve"> InpS!L$20</f>
        <v>4250000</v>
      </c>
      <c r="M27" s="11">
        <f xml:space="preserve"> InpS!M$20</f>
        <v>8500000</v>
      </c>
      <c r="N27" s="11">
        <f xml:space="preserve"> InpS!N$20</f>
        <v>0</v>
      </c>
      <c r="O27" s="11">
        <f xml:space="preserve"> InpS!O$20</f>
        <v>0</v>
      </c>
      <c r="P27" s="11">
        <f xml:space="preserve"> InpS!P$20</f>
        <v>0</v>
      </c>
      <c r="Q27" s="11">
        <f xml:space="preserve"> InpS!Q$20</f>
        <v>0</v>
      </c>
      <c r="R27" s="11">
        <f xml:space="preserve"> InpS!R$20</f>
        <v>0</v>
      </c>
      <c r="S27" s="11">
        <f xml:space="preserve"> InpS!S$20</f>
        <v>0</v>
      </c>
    </row>
    <row r="28" spans="2:19">
      <c r="E28" s="25" t="str">
        <f xml:space="preserve"> 'Company Capital Structure'!E$22</f>
        <v>Total New Capital Raised From Equity</v>
      </c>
      <c r="F28" s="25">
        <f xml:space="preserve"> 'Company Capital Structure'!F$22</f>
        <v>0</v>
      </c>
      <c r="G28" s="25" t="str">
        <f xml:space="preserve"> 'Company Capital Structure'!G$22</f>
        <v>GBP</v>
      </c>
      <c r="H28" s="84">
        <f xml:space="preserve"> 'Company Capital Structure'!H$22</f>
        <v>2500000</v>
      </c>
      <c r="I28" s="25">
        <f xml:space="preserve"> 'Company Capital Structure'!I$22</f>
        <v>0</v>
      </c>
      <c r="J28" s="11">
        <f xml:space="preserve"> 'Company Capital Structure'!J$22</f>
        <v>0</v>
      </c>
      <c r="K28" s="11">
        <f xml:space="preserve"> 'Company Capital Structure'!K$22</f>
        <v>250000</v>
      </c>
      <c r="L28" s="11">
        <f xml:space="preserve"> 'Company Capital Structure'!L$22</f>
        <v>750000</v>
      </c>
      <c r="M28" s="11">
        <f xml:space="preserve"> 'Company Capital Structure'!M$22</f>
        <v>1500000</v>
      </c>
      <c r="N28" s="11">
        <f xml:space="preserve"> 'Company Capital Structure'!N$22</f>
        <v>0</v>
      </c>
      <c r="O28" s="11">
        <f xml:space="preserve"> 'Company Capital Structure'!O$22</f>
        <v>0</v>
      </c>
      <c r="P28" s="11">
        <f xml:space="preserve"> 'Company Capital Structure'!P$22</f>
        <v>0</v>
      </c>
      <c r="Q28" s="11">
        <f xml:space="preserve"> 'Company Capital Structure'!Q$22</f>
        <v>0</v>
      </c>
      <c r="R28" s="11">
        <f xml:space="preserve"> 'Company Capital Structure'!R$22</f>
        <v>0</v>
      </c>
      <c r="S28" s="11">
        <f xml:space="preserve"> 'Company Capital Structure'!S$22</f>
        <v>0</v>
      </c>
    </row>
    <row r="29" spans="2:19">
      <c r="E29" s="16" t="s">
        <v>138</v>
      </c>
      <c r="F29" s="55"/>
      <c r="G29" s="16" t="s">
        <v>132</v>
      </c>
      <c r="H29" s="98">
        <f xml:space="preserve"> SUM( J29:S29 )</f>
        <v>17750000</v>
      </c>
      <c r="I29" s="55"/>
      <c r="J29" s="16">
        <f t="shared" ref="J29:S29" si="3" xml:space="preserve"> SUM( J27:J28 )</f>
        <v>0</v>
      </c>
      <c r="K29" s="16">
        <f t="shared" si="3"/>
        <v>2750000</v>
      </c>
      <c r="L29" s="16">
        <f t="shared" si="3"/>
        <v>5000000</v>
      </c>
      <c r="M29" s="16">
        <f t="shared" si="3"/>
        <v>10000000</v>
      </c>
      <c r="N29" s="16">
        <f t="shared" si="3"/>
        <v>0</v>
      </c>
      <c r="O29" s="16">
        <f t="shared" si="3"/>
        <v>0</v>
      </c>
      <c r="P29" s="16">
        <f t="shared" si="3"/>
        <v>0</v>
      </c>
      <c r="Q29" s="16">
        <f t="shared" si="3"/>
        <v>0</v>
      </c>
      <c r="R29" s="16">
        <f t="shared" si="3"/>
        <v>0</v>
      </c>
      <c r="S29" s="16">
        <f t="shared" si="3"/>
        <v>0</v>
      </c>
    </row>
    <row r="31" spans="2:19">
      <c r="B31" s="27" t="s">
        <v>147</v>
      </c>
    </row>
    <row r="32" spans="2:19">
      <c r="E32" s="25" t="str">
        <f xml:space="preserve"> 'Company Capital Structure'!E$114</f>
        <v>Price per Share</v>
      </c>
      <c r="F32" s="25">
        <f xml:space="preserve"> 'Company Capital Structure'!F$114</f>
        <v>0</v>
      </c>
      <c r="G32" s="25" t="str">
        <f xml:space="preserve"> 'Company Capital Structure'!G$114</f>
        <v>GBP</v>
      </c>
      <c r="H32" s="84">
        <f xml:space="preserve"> 'Company Capital Structure'!H$114</f>
        <v>52340.910090909092</v>
      </c>
      <c r="I32" s="25">
        <f xml:space="preserve"> 'Company Capital Structure'!I$114</f>
        <v>0</v>
      </c>
      <c r="J32" s="11">
        <f xml:space="preserve"> 'Company Capital Structure'!J$114</f>
        <v>1E-3</v>
      </c>
      <c r="K32" s="11">
        <f xml:space="preserve"> 'Company Capital Structure'!K$114</f>
        <v>2500</v>
      </c>
      <c r="L32" s="11">
        <f xml:space="preserve"> 'Company Capital Structure'!L$114</f>
        <v>3863.6363636363635</v>
      </c>
      <c r="M32" s="11">
        <f xml:space="preserve"> 'Company Capital Structure'!M$114</f>
        <v>6568.1818181818189</v>
      </c>
      <c r="N32" s="11">
        <f xml:space="preserve"> 'Company Capital Structure'!N$114</f>
        <v>6568.1818181818189</v>
      </c>
      <c r="O32" s="11">
        <f xml:space="preserve"> 'Company Capital Structure'!O$114</f>
        <v>6568.1818181818189</v>
      </c>
      <c r="P32" s="11">
        <f xml:space="preserve"> 'Company Capital Structure'!P$114</f>
        <v>6568.1818181818189</v>
      </c>
      <c r="Q32" s="11">
        <f xml:space="preserve"> 'Company Capital Structure'!Q$114</f>
        <v>6568.1818181818189</v>
      </c>
      <c r="R32" s="11">
        <f xml:space="preserve"> 'Company Capital Structure'!R$114</f>
        <v>6568.1818181818189</v>
      </c>
      <c r="S32" s="11">
        <f xml:space="preserve"> 'Company Capital Structure'!S$114</f>
        <v>6568.1818181818189</v>
      </c>
    </row>
    <row r="33" spans="2:19">
      <c r="B33" s="27" t="s">
        <v>65</v>
      </c>
    </row>
    <row r="34" spans="2:19">
      <c r="E34" s="25" t="str">
        <f xml:space="preserve"> 'Company Capital Structure'!E$120</f>
        <v>Sector Cofounder Value</v>
      </c>
      <c r="F34" s="25">
        <f xml:space="preserve"> 'Company Capital Structure'!F$120</f>
        <v>0</v>
      </c>
      <c r="G34" s="25" t="str">
        <f xml:space="preserve"> 'Company Capital Structure'!G$120</f>
        <v>GBP</v>
      </c>
      <c r="H34" s="84">
        <f xml:space="preserve"> 'Company Capital Structure'!H$120</f>
        <v>20936364.036363635</v>
      </c>
      <c r="I34" s="25">
        <f xml:space="preserve"> 'Company Capital Structure'!I$120</f>
        <v>0</v>
      </c>
      <c r="J34" s="11">
        <f xml:space="preserve"> 'Company Capital Structure'!J$120</f>
        <v>0.4</v>
      </c>
      <c r="K34" s="11">
        <f xml:space="preserve"> 'Company Capital Structure'!K$120</f>
        <v>1000000</v>
      </c>
      <c r="L34" s="11">
        <f xml:space="preserve"> 'Company Capital Structure'!L$120</f>
        <v>1545454.5454545454</v>
      </c>
      <c r="M34" s="11">
        <f xml:space="preserve"> 'Company Capital Structure'!M$120</f>
        <v>2627272.7272727275</v>
      </c>
      <c r="N34" s="11">
        <f xml:space="preserve"> 'Company Capital Structure'!N$120</f>
        <v>2627272.7272727275</v>
      </c>
      <c r="O34" s="11">
        <f xml:space="preserve"> 'Company Capital Structure'!O$120</f>
        <v>2627272.7272727275</v>
      </c>
      <c r="P34" s="11">
        <f xml:space="preserve"> 'Company Capital Structure'!P$120</f>
        <v>2627272.7272727275</v>
      </c>
      <c r="Q34" s="11">
        <f xml:space="preserve"> 'Company Capital Structure'!Q$120</f>
        <v>2627272.7272727275</v>
      </c>
      <c r="R34" s="11">
        <f xml:space="preserve"> 'Company Capital Structure'!R$120</f>
        <v>2627272.7272727275</v>
      </c>
      <c r="S34" s="11">
        <f xml:space="preserve"> 'Company Capital Structure'!S$120</f>
        <v>2627272.7272727275</v>
      </c>
    </row>
    <row r="35" spans="2:19">
      <c r="E35" s="25" t="str">
        <f xml:space="preserve"> 'Company Capital Structure'!E$126</f>
        <v>Studio Cofounder Value</v>
      </c>
      <c r="F35" s="25">
        <f xml:space="preserve"> 'Company Capital Structure'!F$126</f>
        <v>0</v>
      </c>
      <c r="G35" s="25" t="str">
        <f xml:space="preserve"> 'Company Capital Structure'!G$126</f>
        <v>GBP</v>
      </c>
      <c r="H35" s="84">
        <f xml:space="preserve"> 'Company Capital Structure'!H$126</f>
        <v>5234091.0090909088</v>
      </c>
      <c r="I35" s="25">
        <f xml:space="preserve"> 'Company Capital Structure'!I$126</f>
        <v>0</v>
      </c>
      <c r="J35" s="11">
        <f xml:space="preserve"> 'Company Capital Structure'!J$126</f>
        <v>0.1</v>
      </c>
      <c r="K35" s="11">
        <f xml:space="preserve"> 'Company Capital Structure'!K$126</f>
        <v>250000</v>
      </c>
      <c r="L35" s="11">
        <f xml:space="preserve"> 'Company Capital Structure'!L$126</f>
        <v>386363.63636363635</v>
      </c>
      <c r="M35" s="11">
        <f xml:space="preserve"> 'Company Capital Structure'!M$126</f>
        <v>656818.18181818188</v>
      </c>
      <c r="N35" s="11">
        <f xml:space="preserve"> 'Company Capital Structure'!N$126</f>
        <v>656818.18181818188</v>
      </c>
      <c r="O35" s="11">
        <f xml:space="preserve"> 'Company Capital Structure'!O$126</f>
        <v>656818.18181818188</v>
      </c>
      <c r="P35" s="11">
        <f xml:space="preserve"> 'Company Capital Structure'!P$126</f>
        <v>656818.18181818188</v>
      </c>
      <c r="Q35" s="11">
        <f xml:space="preserve"> 'Company Capital Structure'!Q$126</f>
        <v>656818.18181818188</v>
      </c>
      <c r="R35" s="11">
        <f xml:space="preserve"> 'Company Capital Structure'!R$126</f>
        <v>656818.18181818188</v>
      </c>
      <c r="S35" s="11">
        <f xml:space="preserve"> 'Company Capital Structure'!S$126</f>
        <v>656818.18181818188</v>
      </c>
    </row>
    <row r="36" spans="2:19">
      <c r="E36" s="25" t="str">
        <f xml:space="preserve"> 'Company Capital Structure'!E$132</f>
        <v>Investor Cofounder Value</v>
      </c>
      <c r="F36" s="25">
        <f xml:space="preserve"> 'Company Capital Structure'!F$132</f>
        <v>0</v>
      </c>
      <c r="G36" s="25" t="str">
        <f xml:space="preserve"> 'Company Capital Structure'!G$132</f>
        <v>GBP</v>
      </c>
      <c r="H36" s="84">
        <f xml:space="preserve"> 'Company Capital Structure'!H$132</f>
        <v>26170455.045454551</v>
      </c>
      <c r="I36" s="25">
        <f xml:space="preserve"> 'Company Capital Structure'!I$132</f>
        <v>0</v>
      </c>
      <c r="J36" s="11">
        <f xml:space="preserve"> 'Company Capital Structure'!J$132</f>
        <v>0.5</v>
      </c>
      <c r="K36" s="11">
        <f xml:space="preserve"> 'Company Capital Structure'!K$132</f>
        <v>1250000</v>
      </c>
      <c r="L36" s="11">
        <f xml:space="preserve"> 'Company Capital Structure'!L$132</f>
        <v>1931818.1818181816</v>
      </c>
      <c r="M36" s="11">
        <f xml:space="preserve"> 'Company Capital Structure'!M$132</f>
        <v>3284090.9090909096</v>
      </c>
      <c r="N36" s="11">
        <f xml:space="preserve"> 'Company Capital Structure'!N$132</f>
        <v>3284090.9090909096</v>
      </c>
      <c r="O36" s="11">
        <f xml:space="preserve"> 'Company Capital Structure'!O$132</f>
        <v>3284090.9090909096</v>
      </c>
      <c r="P36" s="11">
        <f xml:space="preserve"> 'Company Capital Structure'!P$132</f>
        <v>3284090.9090909096</v>
      </c>
      <c r="Q36" s="11">
        <f xml:space="preserve"> 'Company Capital Structure'!Q$132</f>
        <v>3284090.9090909096</v>
      </c>
      <c r="R36" s="11">
        <f xml:space="preserve"> 'Company Capital Structure'!R$132</f>
        <v>3284090.9090909096</v>
      </c>
      <c r="S36" s="11">
        <f xml:space="preserve"> 'Company Capital Structure'!S$132</f>
        <v>3284090.9090909096</v>
      </c>
    </row>
    <row r="37" spans="2:19">
      <c r="E37" s="25" t="str">
        <f xml:space="preserve"> 'Company Capital Structure'!E$138</f>
        <v>Other Investor Value</v>
      </c>
      <c r="F37" s="25">
        <f xml:space="preserve"> 'Company Capital Structure'!F$138</f>
        <v>0</v>
      </c>
      <c r="G37" s="25" t="str">
        <f xml:space="preserve"> 'Company Capital Structure'!G$138</f>
        <v>GBP</v>
      </c>
      <c r="H37" s="84">
        <f xml:space="preserve"> 'Company Capital Structure'!H$138</f>
        <v>25409090.909090918</v>
      </c>
      <c r="I37" s="25">
        <f xml:space="preserve"> 'Company Capital Structure'!I$138</f>
        <v>0</v>
      </c>
      <c r="J37" s="11">
        <f xml:space="preserve"> 'Company Capital Structure'!J$138</f>
        <v>0</v>
      </c>
      <c r="K37" s="11">
        <f xml:space="preserve"> 'Company Capital Structure'!K$138</f>
        <v>250000</v>
      </c>
      <c r="L37" s="11">
        <f xml:space="preserve"> 'Company Capital Structure'!L$138</f>
        <v>1136363.6363636362</v>
      </c>
      <c r="M37" s="11">
        <f xml:space="preserve"> 'Company Capital Structure'!M$138</f>
        <v>3431818.1818181826</v>
      </c>
      <c r="N37" s="11">
        <f xml:space="preserve"> 'Company Capital Structure'!N$138</f>
        <v>3431818.1818181826</v>
      </c>
      <c r="O37" s="11">
        <f xml:space="preserve"> 'Company Capital Structure'!O$138</f>
        <v>3431818.1818181826</v>
      </c>
      <c r="P37" s="11">
        <f xml:space="preserve"> 'Company Capital Structure'!P$138</f>
        <v>3431818.1818181826</v>
      </c>
      <c r="Q37" s="11">
        <f xml:space="preserve"> 'Company Capital Structure'!Q$138</f>
        <v>3431818.1818181826</v>
      </c>
      <c r="R37" s="11">
        <f xml:space="preserve"> 'Company Capital Structure'!R$138</f>
        <v>3431818.1818181826</v>
      </c>
      <c r="S37" s="11">
        <f xml:space="preserve"> 'Company Capital Structure'!S$138</f>
        <v>3431818.1818181826</v>
      </c>
    </row>
    <row r="38" spans="2:19">
      <c r="E38" s="16" t="s">
        <v>127</v>
      </c>
      <c r="F38" s="55"/>
      <c r="G38" s="16" t="s">
        <v>132</v>
      </c>
      <c r="H38" s="98">
        <f xml:space="preserve"> SUM( J38:S38 )</f>
        <v>77750001</v>
      </c>
      <c r="I38" s="55"/>
      <c r="J38" s="16">
        <f t="shared" ref="J38:S38" si="4" xml:space="preserve"> SUM( J34:J37 )</f>
        <v>1</v>
      </c>
      <c r="K38" s="16">
        <f t="shared" si="4"/>
        <v>2750000</v>
      </c>
      <c r="L38" s="16">
        <f t="shared" si="4"/>
        <v>5000000</v>
      </c>
      <c r="M38" s="16">
        <f t="shared" si="4"/>
        <v>10000000</v>
      </c>
      <c r="N38" s="16">
        <f t="shared" si="4"/>
        <v>10000000</v>
      </c>
      <c r="O38" s="16">
        <f t="shared" si="4"/>
        <v>10000000</v>
      </c>
      <c r="P38" s="16">
        <f t="shared" si="4"/>
        <v>10000000</v>
      </c>
      <c r="Q38" s="16">
        <f t="shared" si="4"/>
        <v>10000000</v>
      </c>
      <c r="R38" s="16">
        <f t="shared" si="4"/>
        <v>10000000</v>
      </c>
      <c r="S38" s="16">
        <f t="shared" si="4"/>
        <v>10000000</v>
      </c>
    </row>
    <row r="40" spans="2:19">
      <c r="B40" s="27" t="s">
        <v>67</v>
      </c>
    </row>
    <row r="41" spans="2:19">
      <c r="E41" s="25" t="str">
        <f xml:space="preserve"> 'Company Capital Structure'!E$144</f>
        <v>Exit Proceeds</v>
      </c>
      <c r="F41" s="25">
        <f xml:space="preserve"> 'Company Capital Structure'!F$144</f>
        <v>0</v>
      </c>
      <c r="G41" s="25" t="str">
        <f xml:space="preserve"> 'Company Capital Structure'!G$144</f>
        <v>GBP</v>
      </c>
      <c r="H41" s="84">
        <f xml:space="preserve"> 'Company Capital Structure'!H$144</f>
        <v>122500000</v>
      </c>
      <c r="I41" s="25">
        <f xml:space="preserve"> 'Company Capital Structure'!I$144</f>
        <v>0</v>
      </c>
      <c r="J41" s="11">
        <f xml:space="preserve"> 'Company Capital Structure'!J$144</f>
        <v>500000</v>
      </c>
      <c r="K41" s="11">
        <f xml:space="preserve"> 'Company Capital Structure'!K$144</f>
        <v>2000000</v>
      </c>
      <c r="L41" s="11">
        <f xml:space="preserve"> 'Company Capital Structure'!L$144</f>
        <v>5000000</v>
      </c>
      <c r="M41" s="11">
        <f xml:space="preserve"> 'Company Capital Structure'!M$144</f>
        <v>10000000</v>
      </c>
      <c r="N41" s="11">
        <f xml:space="preserve"> 'Company Capital Structure'!N$144</f>
        <v>20000000</v>
      </c>
      <c r="O41" s="11">
        <f xml:space="preserve"> 'Company Capital Structure'!O$144</f>
        <v>35000000</v>
      </c>
      <c r="P41" s="11">
        <f xml:space="preserve"> 'Company Capital Structure'!P$144</f>
        <v>50000000</v>
      </c>
      <c r="Q41" s="11">
        <f xml:space="preserve"> 'Company Capital Structure'!Q$144</f>
        <v>0</v>
      </c>
      <c r="R41" s="11">
        <f xml:space="preserve"> 'Company Capital Structure'!R$144</f>
        <v>0</v>
      </c>
      <c r="S41" s="11">
        <f xml:space="preserve"> 'Company Capital Structure'!S$144</f>
        <v>0</v>
      </c>
    </row>
    <row r="42" spans="2:19">
      <c r="B42" s="27" t="s">
        <v>128</v>
      </c>
    </row>
    <row r="43" spans="2:19">
      <c r="E43" s="25" t="str">
        <f xml:space="preserve"> 'Company Capital Structure'!E$156</f>
        <v>Loan and Redemption Premium Repayment</v>
      </c>
      <c r="F43" s="25">
        <f xml:space="preserve"> 'Company Capital Structure'!F$156</f>
        <v>0</v>
      </c>
      <c r="G43" s="25" t="str">
        <f xml:space="preserve"> 'Company Capital Structure'!G$156</f>
        <v>GBP</v>
      </c>
      <c r="H43" s="84">
        <f xml:space="preserve"> 'Company Capital Structure'!H$156</f>
        <v>25800000</v>
      </c>
      <c r="I43" s="25">
        <f xml:space="preserve"> 'Company Capital Structure'!I$156</f>
        <v>0</v>
      </c>
      <c r="J43" s="11">
        <f xml:space="preserve"> 'Company Capital Structure'!J$156</f>
        <v>300000</v>
      </c>
      <c r="K43" s="11">
        <f xml:space="preserve"> 'Company Capital Structure'!K$156</f>
        <v>1000000</v>
      </c>
      <c r="L43" s="11">
        <f xml:space="preserve"> 'Company Capital Structure'!L$156</f>
        <v>2500000</v>
      </c>
      <c r="M43" s="11">
        <f xml:space="preserve"> 'Company Capital Structure'!M$156</f>
        <v>5500000</v>
      </c>
      <c r="N43" s="11">
        <f xml:space="preserve"> 'Company Capital Structure'!N$156</f>
        <v>5500000</v>
      </c>
      <c r="O43" s="11">
        <f xml:space="preserve"> 'Company Capital Structure'!O$156</f>
        <v>5500000</v>
      </c>
      <c r="P43" s="11">
        <f xml:space="preserve"> 'Company Capital Structure'!P$156</f>
        <v>5500000</v>
      </c>
      <c r="Q43" s="11">
        <f xml:space="preserve"> 'Company Capital Structure'!Q$156</f>
        <v>0</v>
      </c>
      <c r="R43" s="11">
        <f xml:space="preserve"> 'Company Capital Structure'!R$156</f>
        <v>0</v>
      </c>
      <c r="S43" s="11">
        <f xml:space="preserve"> 'Company Capital Structure'!S$156</f>
        <v>0</v>
      </c>
    </row>
    <row r="44" spans="2:19">
      <c r="E44" s="25" t="str">
        <f xml:space="preserve"> 'Company Capital Structure'!E$168</f>
        <v>Proceeds to Sector Cofounder</v>
      </c>
      <c r="F44" s="25">
        <f xml:space="preserve"> 'Company Capital Structure'!F$168</f>
        <v>0</v>
      </c>
      <c r="G44" s="25" t="str">
        <f xml:space="preserve"> 'Company Capital Structure'!G$168</f>
        <v>GBP</v>
      </c>
      <c r="H44" s="84">
        <f xml:space="preserve"> 'Company Capital Structure'!H$168</f>
        <v>25650000</v>
      </c>
      <c r="I44" s="25">
        <f xml:space="preserve"> 'Company Capital Structure'!I$168</f>
        <v>0</v>
      </c>
      <c r="J44" s="11">
        <f xml:space="preserve"> 'Company Capital Structure'!J$168</f>
        <v>80000</v>
      </c>
      <c r="K44" s="11">
        <f xml:space="preserve"> 'Company Capital Structure'!K$168</f>
        <v>363636.36363636365</v>
      </c>
      <c r="L44" s="11">
        <f xml:space="preserve"> 'Company Capital Structure'!L$168</f>
        <v>772727.27272727282</v>
      </c>
      <c r="M44" s="11">
        <f xml:space="preserve"> 'Company Capital Structure'!M$168</f>
        <v>1182272.7272727271</v>
      </c>
      <c r="N44" s="11">
        <f xml:space="preserve"> 'Company Capital Structure'!N$168</f>
        <v>3809545.4545454541</v>
      </c>
      <c r="O44" s="11">
        <f xml:space="preserve"> 'Company Capital Structure'!O$168</f>
        <v>7750454.5454545449</v>
      </c>
      <c r="P44" s="11">
        <f xml:space="preserve"> 'Company Capital Structure'!P$168</f>
        <v>11691363.636363635</v>
      </c>
      <c r="Q44" s="11">
        <f xml:space="preserve"> 'Company Capital Structure'!Q$168</f>
        <v>0</v>
      </c>
      <c r="R44" s="11">
        <f xml:space="preserve"> 'Company Capital Structure'!R$168</f>
        <v>0</v>
      </c>
      <c r="S44" s="11">
        <f xml:space="preserve"> 'Company Capital Structure'!S$168</f>
        <v>0</v>
      </c>
    </row>
    <row r="45" spans="2:19">
      <c r="E45" s="25" t="str">
        <f xml:space="preserve"> 'Company Capital Structure'!E$174</f>
        <v>Proceeds to Studio Cofounder</v>
      </c>
      <c r="F45" s="25">
        <f xml:space="preserve"> 'Company Capital Structure'!F$174</f>
        <v>0</v>
      </c>
      <c r="G45" s="25" t="str">
        <f xml:space="preserve"> 'Company Capital Structure'!G$174</f>
        <v>GBP</v>
      </c>
      <c r="H45" s="84">
        <f xml:space="preserve"> 'Company Capital Structure'!H$174</f>
        <v>6412500</v>
      </c>
      <c r="I45" s="25">
        <f xml:space="preserve"> 'Company Capital Structure'!I$174</f>
        <v>0</v>
      </c>
      <c r="J45" s="11">
        <f xml:space="preserve"> 'Company Capital Structure'!J$174</f>
        <v>20000</v>
      </c>
      <c r="K45" s="11">
        <f xml:space="preserve"> 'Company Capital Structure'!K$174</f>
        <v>90909.090909090912</v>
      </c>
      <c r="L45" s="11">
        <f xml:space="preserve"> 'Company Capital Structure'!L$174</f>
        <v>193181.81818181821</v>
      </c>
      <c r="M45" s="11">
        <f xml:space="preserve"> 'Company Capital Structure'!M$174</f>
        <v>295568.18181818177</v>
      </c>
      <c r="N45" s="11">
        <f xml:space="preserve"> 'Company Capital Structure'!N$174</f>
        <v>952386.36363636353</v>
      </c>
      <c r="O45" s="11">
        <f xml:space="preserve"> 'Company Capital Structure'!O$174</f>
        <v>1937613.6363636362</v>
      </c>
      <c r="P45" s="11">
        <f xml:space="preserve"> 'Company Capital Structure'!P$174</f>
        <v>2922840.9090909087</v>
      </c>
      <c r="Q45" s="11">
        <f xml:space="preserve"> 'Company Capital Structure'!Q$174</f>
        <v>0</v>
      </c>
      <c r="R45" s="11">
        <f xml:space="preserve"> 'Company Capital Structure'!R$174</f>
        <v>0</v>
      </c>
      <c r="S45" s="11">
        <f xml:space="preserve"> 'Company Capital Structure'!S$174</f>
        <v>0</v>
      </c>
    </row>
    <row r="46" spans="2:19">
      <c r="E46" s="25" t="str">
        <f xml:space="preserve"> 'Company Capital Structure'!E$180</f>
        <v>Proceeds to Investor Cofounder</v>
      </c>
      <c r="F46" s="25">
        <f xml:space="preserve"> 'Company Capital Structure'!F$180</f>
        <v>0</v>
      </c>
      <c r="G46" s="25" t="str">
        <f xml:space="preserve"> 'Company Capital Structure'!G$180</f>
        <v>GBP</v>
      </c>
      <c r="H46" s="84">
        <f xml:space="preserve"> 'Company Capital Structure'!H$180</f>
        <v>32062500</v>
      </c>
      <c r="I46" s="25">
        <f xml:space="preserve"> 'Company Capital Structure'!I$180</f>
        <v>0</v>
      </c>
      <c r="J46" s="11">
        <f xml:space="preserve"> 'Company Capital Structure'!J$180</f>
        <v>100000</v>
      </c>
      <c r="K46" s="11">
        <f xml:space="preserve"> 'Company Capital Structure'!K$180</f>
        <v>454545.45454545453</v>
      </c>
      <c r="L46" s="11">
        <f xml:space="preserve"> 'Company Capital Structure'!L$180</f>
        <v>965909.09090909106</v>
      </c>
      <c r="M46" s="11">
        <f xml:space="preserve"> 'Company Capital Structure'!M$180</f>
        <v>1477840.9090909092</v>
      </c>
      <c r="N46" s="11">
        <f xml:space="preserve"> 'Company Capital Structure'!N$180</f>
        <v>4761931.8181818184</v>
      </c>
      <c r="O46" s="11">
        <f xml:space="preserve"> 'Company Capital Structure'!O$180</f>
        <v>9688068.1818181816</v>
      </c>
      <c r="P46" s="11">
        <f xml:space="preserve"> 'Company Capital Structure'!P$180</f>
        <v>14614204.545454547</v>
      </c>
      <c r="Q46" s="11">
        <f xml:space="preserve"> 'Company Capital Structure'!Q$180</f>
        <v>0</v>
      </c>
      <c r="R46" s="11">
        <f xml:space="preserve"> 'Company Capital Structure'!R$180</f>
        <v>0</v>
      </c>
      <c r="S46" s="11">
        <f xml:space="preserve"> 'Company Capital Structure'!S$180</f>
        <v>0</v>
      </c>
    </row>
    <row r="47" spans="2:19">
      <c r="E47" s="25" t="str">
        <f xml:space="preserve"> 'Company Capital Structure'!E$186</f>
        <v>Proceeds to Other Investor</v>
      </c>
      <c r="F47" s="25">
        <f xml:space="preserve"> 'Company Capital Structure'!F$186</f>
        <v>0</v>
      </c>
      <c r="G47" s="25" t="str">
        <f xml:space="preserve"> 'Company Capital Structure'!G$186</f>
        <v>GBP</v>
      </c>
      <c r="H47" s="84">
        <f xml:space="preserve"> 'Company Capital Structure'!H$186</f>
        <v>32575000.000000004</v>
      </c>
      <c r="I47" s="25">
        <f xml:space="preserve"> 'Company Capital Structure'!I$186</f>
        <v>0</v>
      </c>
      <c r="J47" s="11">
        <f xml:space="preserve"> 'Company Capital Structure'!J$186</f>
        <v>0</v>
      </c>
      <c r="K47" s="11">
        <f xml:space="preserve"> 'Company Capital Structure'!K$186</f>
        <v>90909.090909090912</v>
      </c>
      <c r="L47" s="11">
        <f xml:space="preserve"> 'Company Capital Structure'!L$186</f>
        <v>568181.81818181823</v>
      </c>
      <c r="M47" s="11">
        <f xml:space="preserve"> 'Company Capital Structure'!M$186</f>
        <v>1544318.1818181819</v>
      </c>
      <c r="N47" s="11">
        <f xml:space="preserve"> 'Company Capital Structure'!N$186</f>
        <v>4976136.3636363642</v>
      </c>
      <c r="O47" s="11">
        <f xml:space="preserve"> 'Company Capital Structure'!O$186</f>
        <v>10123863.636363637</v>
      </c>
      <c r="P47" s="11">
        <f xml:space="preserve"> 'Company Capital Structure'!P$186</f>
        <v>15271590.90909091</v>
      </c>
      <c r="Q47" s="11">
        <f xml:space="preserve"> 'Company Capital Structure'!Q$186</f>
        <v>0</v>
      </c>
      <c r="R47" s="11">
        <f xml:space="preserve"> 'Company Capital Structure'!R$186</f>
        <v>0</v>
      </c>
      <c r="S47" s="11">
        <f xml:space="preserve"> 'Company Capital Structure'!S$186</f>
        <v>0</v>
      </c>
    </row>
    <row r="48" spans="2:19">
      <c r="E48" s="16" t="s">
        <v>161</v>
      </c>
      <c r="F48" s="55"/>
      <c r="G48" s="16" t="s">
        <v>132</v>
      </c>
      <c r="H48" s="98">
        <f xml:space="preserve"> SUM( J48:S48 )</f>
        <v>122500000</v>
      </c>
      <c r="I48" s="55"/>
      <c r="J48" s="16">
        <f t="shared" ref="J48:S48" si="5" xml:space="preserve"> SUM( J43:J47 )</f>
        <v>500000</v>
      </c>
      <c r="K48" s="16">
        <f t="shared" si="5"/>
        <v>2000000</v>
      </c>
      <c r="L48" s="16">
        <f t="shared" si="5"/>
        <v>5000000.0000000009</v>
      </c>
      <c r="M48" s="16">
        <f t="shared" si="5"/>
        <v>9999999.9999999981</v>
      </c>
      <c r="N48" s="16">
        <f t="shared" si="5"/>
        <v>20000000</v>
      </c>
      <c r="O48" s="16">
        <f t="shared" si="5"/>
        <v>35000000</v>
      </c>
      <c r="P48" s="16">
        <f t="shared" si="5"/>
        <v>50000000</v>
      </c>
      <c r="Q48" s="16">
        <f t="shared" si="5"/>
        <v>0</v>
      </c>
      <c r="R48" s="16">
        <f t="shared" si="5"/>
        <v>0</v>
      </c>
      <c r="S48" s="16">
        <f t="shared" si="5"/>
        <v>0</v>
      </c>
    </row>
  </sheetData>
  <conditionalFormatting sqref="F2:F3">
    <cfRule type="cellIs" dxfId="35" priority="1" stopIfTrue="1" operator="notEqual">
      <formula>0</formula>
    </cfRule>
    <cfRule type="cellIs" dxfId="34" priority="2" stopIfTrue="1" operator="equal">
      <formula>""</formula>
    </cfRule>
  </conditionalFormatting>
  <conditionalFormatting sqref="J3:S3">
    <cfRule type="cellIs" dxfId="33" priority="3" operator="equal">
      <formula>"PPA ext."</formula>
    </cfRule>
    <cfRule type="cellIs" dxfId="32" priority="4" operator="equal">
      <formula>"Delay"</formula>
    </cfRule>
    <cfRule type="cellIs" dxfId="31" priority="5" operator="equal">
      <formula>"Fin Close"</formula>
    </cfRule>
    <cfRule type="cellIs" dxfId="30" priority="6" stopIfTrue="1" operator="equal">
      <formula>"Construction"</formula>
    </cfRule>
    <cfRule type="cellIs" dxfId="29" priority="7" stopIfTrue="1" operator="equal">
      <formula>"Operations"</formula>
    </cfRule>
  </conditionalFormatting>
  <pageMargins left="0.7" right="0.7" top="0.75" bottom="0.75" header="0.3" footer="0.3"/>
  <customProperties>
    <customPr name="MMGroup" r:id="rId1"/>
    <customPr name="MMSheetType" r:id="rId2"/>
  </customPropertie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4F81BD"/>
    <outlinePr summaryBelow="0" summaryRight="0"/>
  </sheetPr>
  <dimension ref="A1:S25"/>
  <sheetViews>
    <sheetView showGridLines="0" zoomScale="80" workbookViewId="0">
      <pane xSplit="9" ySplit="5" topLeftCell="J6" activePane="bottomRight" state="frozen"/>
      <selection activeCell="J6" sqref="J6"/>
      <selection pane="topRight" activeCell="J6" sqref="J6"/>
      <selection pane="bottomLeft" activeCell="J6" sqref="J6"/>
      <selection pane="bottomRight" activeCell="J6" sqref="J6"/>
    </sheetView>
  </sheetViews>
  <sheetFormatPr defaultColWidth="0" defaultRowHeight="13"/>
  <cols>
    <col min="1" max="2" width="1.44140625" style="27" customWidth="1"/>
    <col min="3" max="3" width="1.44140625" style="69" customWidth="1"/>
    <col min="4" max="4" width="1.44140625" style="111" customWidth="1"/>
    <col min="5" max="5" width="34.21875" bestFit="1" customWidth="1"/>
    <col min="6" max="6" width="20.88671875" bestFit="1" customWidth="1"/>
    <col min="7" max="7" width="13.33203125" bestFit="1" customWidth="1"/>
    <col min="8" max="8" width="14.33203125" style="41" bestFit="1" customWidth="1"/>
    <col min="9" max="9" width="3.44140625" customWidth="1"/>
    <col min="10" max="12" width="12.33203125" bestFit="1" customWidth="1"/>
    <col min="13" max="19" width="13" bestFit="1" customWidth="1"/>
    <col min="20" max="20" width="15.109375" hidden="1" customWidth="1"/>
    <col min="21" max="16384" width="15.109375" hidden="1"/>
  </cols>
  <sheetData>
    <row r="1" spans="1:19" s="110" customFormat="1" ht="25">
      <c r="A1" s="46" t="str">
        <f ca="1" xml:space="preserve"> RIGHT(CELL("filename", A1), LEN(CELL("filename", A1)) - SEARCH("]", CELL("filename", A1)))</f>
        <v>Cohort Report</v>
      </c>
      <c r="B1" s="104"/>
      <c r="C1" s="103"/>
      <c r="D1" s="106"/>
      <c r="F1" s="49" t="str">
        <f>HYPERLINK("#Contents!A1","Go to contents")</f>
        <v>Go to contents</v>
      </c>
      <c r="H1" s="68"/>
      <c r="J1" s="68"/>
    </row>
    <row r="2" spans="1:19" s="50" customFormat="1">
      <c r="A2" s="66"/>
      <c r="B2" s="66"/>
      <c r="C2" s="102"/>
      <c r="D2" s="114"/>
      <c r="E2" s="17" t="s">
        <v>178</v>
      </c>
      <c r="F2" s="51">
        <v>0</v>
      </c>
      <c r="G2" s="52" t="s">
        <v>72</v>
      </c>
      <c r="H2" s="75"/>
      <c r="I2" s="75"/>
      <c r="J2" s="4">
        <f xml:space="preserve"> Time!J$12</f>
        <v>45535</v>
      </c>
      <c r="K2" s="4">
        <f xml:space="preserve"> Time!K$12</f>
        <v>45900</v>
      </c>
      <c r="L2" s="4">
        <f xml:space="preserve"> Time!L$12</f>
        <v>46265</v>
      </c>
      <c r="M2" s="4">
        <f xml:space="preserve"> Time!M$12</f>
        <v>46630</v>
      </c>
      <c r="N2" s="4">
        <f xml:space="preserve"> Time!N$12</f>
        <v>46996</v>
      </c>
      <c r="O2" s="4">
        <f xml:space="preserve"> Time!O$12</f>
        <v>47361</v>
      </c>
      <c r="P2" s="4">
        <f xml:space="preserve"> Time!P$12</f>
        <v>47726</v>
      </c>
      <c r="Q2" s="4">
        <f xml:space="preserve"> Time!Q$12</f>
        <v>48091</v>
      </c>
      <c r="R2" s="4">
        <f xml:space="preserve"> Time!R$12</f>
        <v>48457</v>
      </c>
      <c r="S2" s="4">
        <f xml:space="preserve"> Time!S$12</f>
        <v>48822</v>
      </c>
    </row>
    <row r="3" spans="1:19" s="32" customFormat="1">
      <c r="A3" s="66"/>
      <c r="B3" s="66"/>
      <c r="C3" s="102"/>
      <c r="D3" s="114"/>
      <c r="E3" s="37" t="s">
        <v>107</v>
      </c>
      <c r="F3" s="51"/>
      <c r="G3" s="52" t="s">
        <v>45</v>
      </c>
      <c r="H3" s="75"/>
      <c r="I3" s="75"/>
      <c r="J3" s="5">
        <f xml:space="preserve"> Time!J$16</f>
        <v>1</v>
      </c>
      <c r="K3" s="5">
        <f xml:space="preserve"> Time!K$16</f>
        <v>2</v>
      </c>
      <c r="L3" s="5">
        <f xml:space="preserve"> Time!L$16</f>
        <v>3</v>
      </c>
      <c r="M3" s="5">
        <f xml:space="preserve"> Time!M$16</f>
        <v>4</v>
      </c>
      <c r="N3" s="5">
        <f xml:space="preserve"> Time!N$16</f>
        <v>5</v>
      </c>
      <c r="O3" s="5">
        <f xml:space="preserve"> Time!O$16</f>
        <v>6</v>
      </c>
      <c r="P3" s="5">
        <f xml:space="preserve"> Time!P$16</f>
        <v>7</v>
      </c>
      <c r="Q3" s="5">
        <f xml:space="preserve"> Time!Q$16</f>
        <v>8</v>
      </c>
      <c r="R3" s="5">
        <f xml:space="preserve"> Time!R$16</f>
        <v>9</v>
      </c>
      <c r="S3" s="5">
        <f xml:space="preserve"> Time!S$16</f>
        <v>10</v>
      </c>
    </row>
    <row r="4" spans="1:19" s="30" customFormat="1">
      <c r="A4" s="66"/>
      <c r="B4" s="66"/>
      <c r="C4" s="102"/>
      <c r="D4" s="114"/>
      <c r="E4" s="17" t="s">
        <v>179</v>
      </c>
      <c r="F4"/>
      <c r="G4"/>
      <c r="H4" s="75"/>
      <c r="I4" s="75"/>
    </row>
    <row r="5" spans="1:19" s="32" customFormat="1">
      <c r="A5" s="66"/>
      <c r="B5" s="66"/>
      <c r="C5" s="102"/>
      <c r="D5" s="114"/>
      <c r="E5" s="17" t="s">
        <v>165</v>
      </c>
      <c r="F5" s="27" t="s">
        <v>129</v>
      </c>
      <c r="G5" s="27" t="s">
        <v>118</v>
      </c>
      <c r="H5" s="27" t="s">
        <v>106</v>
      </c>
      <c r="I5" s="75"/>
      <c r="J5" s="8"/>
      <c r="K5" s="8"/>
      <c r="L5" s="8"/>
      <c r="M5" s="8"/>
      <c r="N5" s="8"/>
      <c r="O5" s="8"/>
      <c r="P5" s="8"/>
    </row>
    <row r="6" spans="1:19" s="41" customFormat="1">
      <c r="A6" s="27"/>
      <c r="B6" s="27"/>
      <c r="C6" s="69"/>
      <c r="D6" s="107"/>
      <c r="F6" s="27"/>
      <c r="G6" s="27"/>
      <c r="H6" s="27"/>
    </row>
    <row r="8" spans="1:19">
      <c r="B8" s="27" t="s">
        <v>115</v>
      </c>
    </row>
    <row r="9" spans="1:19">
      <c r="E9" s="85" t="str">
        <f xml:space="preserve"> InpS!E$26</f>
        <v>Percentage Fail</v>
      </c>
      <c r="F9" s="85">
        <f xml:space="preserve"> InpS!F$26</f>
        <v>0</v>
      </c>
      <c r="G9" s="85" t="str">
        <f xml:space="preserve"> InpS!G$26</f>
        <v>%</v>
      </c>
      <c r="H9" s="190">
        <f xml:space="preserve"> InpS!H$26</f>
        <v>0</v>
      </c>
      <c r="I9" s="85">
        <f xml:space="preserve"> InpS!I$26</f>
        <v>0</v>
      </c>
      <c r="J9" s="39">
        <f xml:space="preserve"> InpS!J$26</f>
        <v>0.3</v>
      </c>
      <c r="K9" s="39">
        <f xml:space="preserve"> InpS!K$26</f>
        <v>0.28499999999999998</v>
      </c>
      <c r="L9" s="39">
        <f xml:space="preserve"> InpS!L$26</f>
        <v>0.2</v>
      </c>
      <c r="M9" s="39">
        <f xml:space="preserve"> InpS!M$26</f>
        <v>0</v>
      </c>
      <c r="N9" s="39">
        <f xml:space="preserve"> InpS!N$26</f>
        <v>0</v>
      </c>
      <c r="O9" s="39">
        <f xml:space="preserve"> InpS!O$26</f>
        <v>0</v>
      </c>
      <c r="P9" s="39">
        <f xml:space="preserve"> InpS!P$26</f>
        <v>0</v>
      </c>
      <c r="Q9" s="39">
        <f xml:space="preserve"> InpS!Q$26</f>
        <v>0</v>
      </c>
      <c r="R9" s="39">
        <f xml:space="preserve"> InpS!R$26</f>
        <v>0</v>
      </c>
      <c r="S9" s="39">
        <f xml:space="preserve"> InpS!S$26</f>
        <v>0</v>
      </c>
    </row>
    <row r="10" spans="1:19">
      <c r="E10" s="85" t="str">
        <f xml:space="preserve"> InpS!E$27</f>
        <v>Percentage Exit</v>
      </c>
      <c r="F10" s="85">
        <f xml:space="preserve"> InpS!F$27</f>
        <v>0</v>
      </c>
      <c r="G10" s="85" t="str">
        <f xml:space="preserve"> InpS!G$27</f>
        <v>%</v>
      </c>
      <c r="H10" s="190">
        <f xml:space="preserve"> InpS!H$27</f>
        <v>0</v>
      </c>
      <c r="I10" s="85">
        <f xml:space="preserve"> InpS!I$27</f>
        <v>0</v>
      </c>
      <c r="J10" s="39">
        <f xml:space="preserve"> InpS!J$27</f>
        <v>0</v>
      </c>
      <c r="K10" s="39">
        <f xml:space="preserve"> InpS!K$27</f>
        <v>0</v>
      </c>
      <c r="L10" s="39">
        <f xml:space="preserve"> InpS!L$27</f>
        <v>0</v>
      </c>
      <c r="M10" s="39">
        <f xml:space="preserve"> InpS!M$27</f>
        <v>0</v>
      </c>
      <c r="N10" s="39">
        <f xml:space="preserve"> InpS!N$27</f>
        <v>6.5000000000000002E-2</v>
      </c>
      <c r="O10" s="39">
        <f xml:space="preserve"> InpS!O$27</f>
        <v>6.5000000000000002E-2</v>
      </c>
      <c r="P10" s="39">
        <f xml:space="preserve"> InpS!P$27</f>
        <v>6.5000000000000002E-2</v>
      </c>
      <c r="Q10" s="39">
        <f xml:space="preserve"> InpS!Q$27</f>
        <v>0</v>
      </c>
      <c r="R10" s="39">
        <f xml:space="preserve"> InpS!R$27</f>
        <v>0</v>
      </c>
      <c r="S10" s="39">
        <f xml:space="preserve"> InpS!S$27</f>
        <v>0</v>
      </c>
    </row>
    <row r="11" spans="1:19">
      <c r="E11" s="85" t="str">
        <f xml:space="preserve"> 'Cohort Structure'!E$22</f>
        <v>Percentage Graduate</v>
      </c>
      <c r="F11" s="85">
        <f xml:space="preserve"> 'Cohort Structure'!F$22</f>
        <v>0</v>
      </c>
      <c r="G11" s="85" t="str">
        <f xml:space="preserve"> 'Cohort Structure'!G$22</f>
        <v>%</v>
      </c>
      <c r="H11" s="190">
        <f xml:space="preserve"> 'Cohort Structure'!H$22</f>
        <v>0</v>
      </c>
      <c r="I11" s="85">
        <f xml:space="preserve"> 'Cohort Structure'!I$22</f>
        <v>1</v>
      </c>
      <c r="J11" s="39">
        <f>'Cohort Structure'!J$22</f>
        <v>0.7</v>
      </c>
      <c r="K11" s="39">
        <f>'Cohort Structure'!K$22</f>
        <v>0.41499999999999998</v>
      </c>
      <c r="L11" s="39">
        <f>'Cohort Structure'!L$22</f>
        <v>0.21499999999999997</v>
      </c>
      <c r="M11" s="39">
        <f>'Cohort Structure'!M$22</f>
        <v>0.21499999999999997</v>
      </c>
      <c r="N11" s="39">
        <f>'Cohort Structure'!N$22</f>
        <v>0.14999999999999997</v>
      </c>
      <c r="O11" s="39">
        <f>'Cohort Structure'!O$22</f>
        <v>8.4999999999999964E-2</v>
      </c>
      <c r="P11" s="39">
        <f>'Cohort Structure'!P$22</f>
        <v>1.9999999999999962E-2</v>
      </c>
      <c r="Q11" s="39">
        <f>'Cohort Structure'!Q$22</f>
        <v>1.9999999999999962E-2</v>
      </c>
      <c r="R11" s="39">
        <f>'Cohort Structure'!R$22</f>
        <v>1.9999999999999962E-2</v>
      </c>
      <c r="S11" s="39">
        <f>'Cohort Structure'!S$22</f>
        <v>1.9999999999999962E-2</v>
      </c>
    </row>
    <row r="12" spans="1:19">
      <c r="B12" s="27" t="s">
        <v>62</v>
      </c>
    </row>
    <row r="13" spans="1:19">
      <c r="E13" s="57" t="str">
        <f xml:space="preserve"> 'Cohort Structure'!E$15</f>
        <v>Remaing Companies</v>
      </c>
      <c r="F13" s="57">
        <f xml:space="preserve"> 'Cohort Structure'!F$15</f>
        <v>0</v>
      </c>
      <c r="G13" s="57" t="str">
        <f xml:space="preserve"> 'Cohort Structure'!G$15</f>
        <v>Companies</v>
      </c>
      <c r="H13" s="134">
        <f xml:space="preserve"> 'Cohort Structure'!H$15</f>
        <v>0</v>
      </c>
      <c r="I13" s="57">
        <f xml:space="preserve"> 'Cohort Structure'!I$15</f>
        <v>15</v>
      </c>
      <c r="J13" s="26">
        <f>'Cohort Structure'!J$15</f>
        <v>10.5</v>
      </c>
      <c r="K13" s="26">
        <f>'Cohort Structure'!K$15</f>
        <v>6.2250000000000005</v>
      </c>
      <c r="L13" s="26">
        <f>'Cohort Structure'!L$15</f>
        <v>3.2250000000000005</v>
      </c>
      <c r="M13" s="26">
        <f>'Cohort Structure'!M$15</f>
        <v>3.2250000000000005</v>
      </c>
      <c r="N13" s="26">
        <f>'Cohort Structure'!N$15</f>
        <v>2.2500000000000004</v>
      </c>
      <c r="O13" s="26">
        <f>'Cohort Structure'!O$15</f>
        <v>1.2750000000000004</v>
      </c>
      <c r="P13" s="26">
        <f>'Cohort Structure'!P$15</f>
        <v>0.30000000000000027</v>
      </c>
      <c r="Q13" s="26">
        <f>'Cohort Structure'!Q$15</f>
        <v>0.30000000000000027</v>
      </c>
      <c r="R13" s="26">
        <f>'Cohort Structure'!R$15</f>
        <v>0.30000000000000027</v>
      </c>
      <c r="S13" s="26">
        <f>'Cohort Structure'!S$15</f>
        <v>0.30000000000000027</v>
      </c>
    </row>
    <row r="14" spans="1:19">
      <c r="E14" s="57" t="str">
        <f xml:space="preserve"> 'Cohort Structure'!E$40</f>
        <v>Exited Companies</v>
      </c>
      <c r="F14" s="57">
        <f xml:space="preserve"> 'Cohort Structure'!F$40</f>
        <v>0</v>
      </c>
      <c r="G14" s="57" t="str">
        <f xml:space="preserve"> 'Cohort Structure'!G$40</f>
        <v>Companies</v>
      </c>
      <c r="H14" s="134">
        <f xml:space="preserve"> 'Cohort Structure'!H$40</f>
        <v>0</v>
      </c>
      <c r="I14" s="57">
        <f xml:space="preserve"> 'Cohort Structure'!I$40</f>
        <v>0</v>
      </c>
      <c r="J14" s="26">
        <f>'Cohort Structure'!J$40</f>
        <v>0</v>
      </c>
      <c r="K14" s="26">
        <f>'Cohort Structure'!K$40</f>
        <v>0</v>
      </c>
      <c r="L14" s="26">
        <f>'Cohort Structure'!L$40</f>
        <v>0</v>
      </c>
      <c r="M14" s="26">
        <f>'Cohort Structure'!M$40</f>
        <v>0</v>
      </c>
      <c r="N14" s="26">
        <f>'Cohort Structure'!N$40</f>
        <v>0.97500000000000009</v>
      </c>
      <c r="O14" s="26">
        <f>'Cohort Structure'!O$40</f>
        <v>1.9500000000000002</v>
      </c>
      <c r="P14" s="26">
        <f>'Cohort Structure'!P$40</f>
        <v>2.9250000000000003</v>
      </c>
      <c r="Q14" s="26">
        <f>'Cohort Structure'!Q$40</f>
        <v>2.9250000000000003</v>
      </c>
      <c r="R14" s="26">
        <f>'Cohort Structure'!R$40</f>
        <v>2.9250000000000003</v>
      </c>
      <c r="S14" s="26">
        <f>'Cohort Structure'!S$40</f>
        <v>2.9250000000000003</v>
      </c>
    </row>
    <row r="15" spans="1:19">
      <c r="E15" s="57" t="str">
        <f xml:space="preserve"> 'Cohort Structure'!E$46</f>
        <v>Failed Companies</v>
      </c>
      <c r="F15" s="57">
        <f xml:space="preserve"> 'Cohort Structure'!F$46</f>
        <v>0</v>
      </c>
      <c r="G15" s="57" t="str">
        <f xml:space="preserve"> 'Cohort Structure'!G$46</f>
        <v>Companies</v>
      </c>
      <c r="H15" s="134">
        <f xml:space="preserve"> 'Cohort Structure'!H$46</f>
        <v>0</v>
      </c>
      <c r="I15" s="57">
        <f xml:space="preserve"> 'Cohort Structure'!I$46</f>
        <v>0</v>
      </c>
      <c r="J15" s="26">
        <f>'Cohort Structure'!J$46</f>
        <v>4.5</v>
      </c>
      <c r="K15" s="26">
        <f>'Cohort Structure'!K$46</f>
        <v>8.7749999999999986</v>
      </c>
      <c r="L15" s="26">
        <f>'Cohort Structure'!L$46</f>
        <v>11.774999999999999</v>
      </c>
      <c r="M15" s="26">
        <f>'Cohort Structure'!M$46</f>
        <v>11.774999999999999</v>
      </c>
      <c r="N15" s="26">
        <f>'Cohort Structure'!N$46</f>
        <v>11.774999999999999</v>
      </c>
      <c r="O15" s="26">
        <f>'Cohort Structure'!O$46</f>
        <v>11.774999999999999</v>
      </c>
      <c r="P15" s="26">
        <f>'Cohort Structure'!P$46</f>
        <v>11.774999999999999</v>
      </c>
      <c r="Q15" s="26">
        <f>'Cohort Structure'!Q$46</f>
        <v>11.774999999999999</v>
      </c>
      <c r="R15" s="26">
        <f>'Cohort Structure'!R$46</f>
        <v>11.774999999999999</v>
      </c>
      <c r="S15" s="26">
        <f>'Cohort Structure'!S$46</f>
        <v>11.774999999999999</v>
      </c>
    </row>
    <row r="16" spans="1:19">
      <c r="E16" s="16" t="s">
        <v>83</v>
      </c>
      <c r="F16" s="55"/>
      <c r="G16" s="16" t="s">
        <v>132</v>
      </c>
      <c r="H16" s="98"/>
      <c r="I16" s="55"/>
      <c r="J16" s="16">
        <f t="shared" ref="J16:S16" si="0" xml:space="preserve"> SUM( J13:J15 )</f>
        <v>15</v>
      </c>
      <c r="K16" s="16">
        <f t="shared" si="0"/>
        <v>15</v>
      </c>
      <c r="L16" s="16">
        <f t="shared" si="0"/>
        <v>15</v>
      </c>
      <c r="M16" s="16">
        <f t="shared" si="0"/>
        <v>15</v>
      </c>
      <c r="N16" s="16">
        <f t="shared" si="0"/>
        <v>15</v>
      </c>
      <c r="O16" s="16">
        <f t="shared" si="0"/>
        <v>15</v>
      </c>
      <c r="P16" s="16">
        <f t="shared" si="0"/>
        <v>15</v>
      </c>
      <c r="Q16" s="16">
        <f t="shared" si="0"/>
        <v>15</v>
      </c>
      <c r="R16" s="16">
        <f t="shared" si="0"/>
        <v>15</v>
      </c>
      <c r="S16" s="16">
        <f t="shared" si="0"/>
        <v>15</v>
      </c>
    </row>
    <row r="18" spans="2:19">
      <c r="B18" s="27" t="s">
        <v>84</v>
      </c>
    </row>
    <row r="19" spans="2:19">
      <c r="E19" s="25" t="str">
        <f xml:space="preserve"> InpS!E$13</f>
        <v>New Company Loan Note</v>
      </c>
      <c r="F19" s="25">
        <f xml:space="preserve"> InpS!F$13</f>
        <v>0</v>
      </c>
      <c r="G19" s="25" t="str">
        <f xml:space="preserve"> InpS!G$13</f>
        <v>GBP</v>
      </c>
      <c r="H19" s="84">
        <f xml:space="preserve"> InpS!H$13</f>
        <v>2750000</v>
      </c>
      <c r="I19" s="25">
        <f xml:space="preserve"> InpS!I$13</f>
        <v>0</v>
      </c>
      <c r="J19" s="11">
        <f xml:space="preserve"> InpS!J$13</f>
        <v>150000</v>
      </c>
      <c r="K19" s="11">
        <f xml:space="preserve"> InpS!K$13</f>
        <v>350000</v>
      </c>
      <c r="L19" s="11">
        <f xml:space="preserve"> InpS!L$13</f>
        <v>750000</v>
      </c>
      <c r="M19" s="11">
        <f xml:space="preserve"> InpS!M$13</f>
        <v>1500000</v>
      </c>
      <c r="N19" s="11">
        <f xml:space="preserve"> InpS!N$13</f>
        <v>0</v>
      </c>
      <c r="O19" s="11">
        <f xml:space="preserve"> InpS!O$13</f>
        <v>0</v>
      </c>
      <c r="P19" s="11">
        <f xml:space="preserve"> InpS!P$13</f>
        <v>0</v>
      </c>
      <c r="Q19" s="11">
        <f xml:space="preserve"> InpS!Q$13</f>
        <v>0</v>
      </c>
      <c r="R19" s="11">
        <f xml:space="preserve"> InpS!R$13</f>
        <v>0</v>
      </c>
      <c r="S19" s="11">
        <f xml:space="preserve"> InpS!S$13</f>
        <v>0</v>
      </c>
    </row>
    <row r="20" spans="2:19">
      <c r="E20" s="83" t="str">
        <f xml:space="preserve"> 'Cohort Structure'!E$59</f>
        <v>Cohort Loan Balance</v>
      </c>
      <c r="F20" s="83">
        <f xml:space="preserve"> 'Cohort Structure'!F$59</f>
        <v>0</v>
      </c>
      <c r="G20" s="83" t="str">
        <f xml:space="preserve"> 'Cohort Structure'!G$59</f>
        <v>GBP</v>
      </c>
      <c r="H20" s="41">
        <f xml:space="preserve"> 'Cohort Structure'!H$59</f>
        <v>0</v>
      </c>
      <c r="I20" s="83">
        <f xml:space="preserve"> 'Cohort Structure'!I$59</f>
        <v>0</v>
      </c>
      <c r="J20" s="38">
        <f>'Cohort Structure'!J$59</f>
        <v>1575000</v>
      </c>
      <c r="K20" s="38">
        <f>'Cohort Structure'!K$59</f>
        <v>3753750</v>
      </c>
      <c r="L20" s="38">
        <f>'Cohort Structure'!L$59</f>
        <v>6172500</v>
      </c>
      <c r="M20" s="38">
        <f>'Cohort Structure'!M$59</f>
        <v>11010000</v>
      </c>
      <c r="N20" s="38">
        <f>'Cohort Structure'!N$59</f>
        <v>11010000</v>
      </c>
      <c r="O20" s="38">
        <f>'Cohort Structure'!O$59</f>
        <v>11010000</v>
      </c>
      <c r="P20" s="38">
        <f>'Cohort Structure'!P$59</f>
        <v>11010000</v>
      </c>
      <c r="Q20" s="38">
        <f>'Cohort Structure'!Q$59</f>
        <v>11010000</v>
      </c>
      <c r="R20" s="38">
        <f>'Cohort Structure'!R$59</f>
        <v>11010000</v>
      </c>
      <c r="S20" s="38">
        <f>'Cohort Structure'!S$59</f>
        <v>11010000</v>
      </c>
    </row>
    <row r="21" spans="2:19">
      <c r="B21" s="27" t="s">
        <v>51</v>
      </c>
    </row>
    <row r="22" spans="2:19">
      <c r="E22" s="25" t="str">
        <f xml:space="preserve"> InpS!E$23</f>
        <v>Exit Value</v>
      </c>
      <c r="F22" s="25">
        <f xml:space="preserve"> InpS!F$23</f>
        <v>0</v>
      </c>
      <c r="G22" s="25" t="str">
        <f xml:space="preserve"> InpS!G$23</f>
        <v>GBP</v>
      </c>
      <c r="H22" s="84">
        <f xml:space="preserve"> InpS!H$23</f>
        <v>122500000</v>
      </c>
      <c r="I22" s="25">
        <f xml:space="preserve"> InpS!I$23</f>
        <v>0</v>
      </c>
      <c r="J22" s="11">
        <f xml:space="preserve"> InpS!J$23</f>
        <v>500000</v>
      </c>
      <c r="K22" s="11">
        <f xml:space="preserve"> InpS!K$23</f>
        <v>2000000</v>
      </c>
      <c r="L22" s="11">
        <f xml:space="preserve"> InpS!L$23</f>
        <v>5000000</v>
      </c>
      <c r="M22" s="11">
        <f xml:space="preserve"> InpS!M$23</f>
        <v>10000000</v>
      </c>
      <c r="N22" s="11">
        <f xml:space="preserve"> InpS!N$23</f>
        <v>20000000</v>
      </c>
      <c r="O22" s="11">
        <f xml:space="preserve"> InpS!O$23</f>
        <v>35000000</v>
      </c>
      <c r="P22" s="11">
        <f xml:space="preserve"> InpS!P$23</f>
        <v>50000000</v>
      </c>
      <c r="Q22" s="11">
        <f xml:space="preserve"> InpS!Q$23</f>
        <v>0</v>
      </c>
      <c r="R22" s="11">
        <f xml:space="preserve"> InpS!R$23</f>
        <v>0</v>
      </c>
      <c r="S22" s="11">
        <f xml:space="preserve"> InpS!S$23</f>
        <v>0</v>
      </c>
    </row>
    <row r="23" spans="2:19">
      <c r="E23" s="83" t="str">
        <f xml:space="preserve"> 'Cohort Structure'!E$73</f>
        <v>Total Investor Cofounder Return</v>
      </c>
      <c r="F23" s="83">
        <f xml:space="preserve"> 'Cohort Structure'!F$73</f>
        <v>0</v>
      </c>
      <c r="G23" s="83" t="str">
        <f xml:space="preserve"> 'Cohort Structure'!G$73</f>
        <v>GBP</v>
      </c>
      <c r="H23" s="41">
        <f xml:space="preserve"> 'Cohort Structure'!H$73</f>
        <v>0</v>
      </c>
      <c r="I23" s="83">
        <f xml:space="preserve"> 'Cohort Structure'!I$73</f>
        <v>0</v>
      </c>
      <c r="J23" s="38">
        <f>'Cohort Structure'!J$73</f>
        <v>0</v>
      </c>
      <c r="K23" s="38">
        <f>'Cohort Structure'!K$73</f>
        <v>0</v>
      </c>
      <c r="L23" s="38">
        <f>'Cohort Structure'!L$73</f>
        <v>0</v>
      </c>
      <c r="M23" s="38">
        <f>'Cohort Structure'!M$73</f>
        <v>0</v>
      </c>
      <c r="N23" s="38">
        <f>'Cohort Structure'!N$73</f>
        <v>10005383.522727273</v>
      </c>
      <c r="O23" s="38">
        <f>'Cohort Structure'!O$73</f>
        <v>24813750</v>
      </c>
      <c r="P23" s="38">
        <f>'Cohort Structure'!P$73</f>
        <v>44425099.431818187</v>
      </c>
      <c r="Q23" s="38">
        <f>'Cohort Structure'!Q$73</f>
        <v>44425099.431818187</v>
      </c>
      <c r="R23" s="38">
        <f>'Cohort Structure'!R$73</f>
        <v>44425099.431818187</v>
      </c>
      <c r="S23" s="38">
        <f>'Cohort Structure'!S$73</f>
        <v>44425099.431818187</v>
      </c>
    </row>
    <row r="24" spans="2:19">
      <c r="B24" s="27" t="s">
        <v>114</v>
      </c>
    </row>
    <row r="25" spans="2:19">
      <c r="E25" s="57" t="str">
        <f xml:space="preserve"> 'Cohort Structure'!E$79</f>
        <v>DPI</v>
      </c>
      <c r="F25" s="57">
        <f xml:space="preserve"> 'Cohort Structure'!F$79</f>
        <v>0</v>
      </c>
      <c r="G25" s="57" t="str">
        <f xml:space="preserve"> 'Cohort Structure'!G$79</f>
        <v>Ratio</v>
      </c>
      <c r="H25" s="134">
        <f xml:space="preserve"> 'Cohort Structure'!H$79</f>
        <v>0</v>
      </c>
      <c r="I25" s="57">
        <f xml:space="preserve"> 'Cohort Structure'!I$79</f>
        <v>0</v>
      </c>
      <c r="J25" s="26">
        <f>'Cohort Structure'!J$79</f>
        <v>0</v>
      </c>
      <c r="K25" s="26">
        <f>'Cohort Structure'!K$79</f>
        <v>0</v>
      </c>
      <c r="L25" s="26">
        <f>'Cohort Structure'!L$79</f>
        <v>0</v>
      </c>
      <c r="M25" s="26">
        <f>'Cohort Structure'!M$79</f>
        <v>0</v>
      </c>
      <c r="N25" s="26">
        <f>'Cohort Structure'!N$79</f>
        <v>0.90875418008422104</v>
      </c>
      <c r="O25" s="26">
        <f>'Cohort Structure'!O$79</f>
        <v>2.2537465940054497</v>
      </c>
      <c r="P25" s="26">
        <f>'Cohort Structure'!P$79</f>
        <v>4.034977241763686</v>
      </c>
      <c r="Q25" s="26">
        <f>'Cohort Structure'!Q$79</f>
        <v>4.034977241763686</v>
      </c>
      <c r="R25" s="26">
        <f>'Cohort Structure'!R$79</f>
        <v>4.034977241763686</v>
      </c>
      <c r="S25" s="26">
        <f>'Cohort Structure'!S$79</f>
        <v>4.034977241763686</v>
      </c>
    </row>
  </sheetData>
  <conditionalFormatting sqref="F2:F3">
    <cfRule type="cellIs" dxfId="28" priority="1" stopIfTrue="1" operator="notEqual">
      <formula>0</formula>
    </cfRule>
    <cfRule type="cellIs" dxfId="27" priority="2" stopIfTrue="1" operator="equal">
      <formula>""</formula>
    </cfRule>
  </conditionalFormatting>
  <conditionalFormatting sqref="J3:S3">
    <cfRule type="cellIs" dxfId="26" priority="3" operator="equal">
      <formula>"PPA ext."</formula>
    </cfRule>
    <cfRule type="cellIs" dxfId="25" priority="4" operator="equal">
      <formula>"Delay"</formula>
    </cfRule>
    <cfRule type="cellIs" dxfId="24" priority="5" operator="equal">
      <formula>"Fin Close"</formula>
    </cfRule>
    <cfRule type="cellIs" dxfId="23" priority="6" stopIfTrue="1" operator="equal">
      <formula>"Construction"</formula>
    </cfRule>
    <cfRule type="cellIs" dxfId="22" priority="7" stopIfTrue="1" operator="equal">
      <formula>"Operations"</formula>
    </cfRule>
  </conditionalFormatting>
  <pageMargins left="0.7" right="0.7" top="0.75" bottom="0.75" header="0.3" footer="0.3"/>
  <customProperties>
    <customPr name="MMGroup" r:id="rId1"/>
    <customPr name="MMSheetType" r:id="rId2"/>
  </customPropertie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4F81BD"/>
    <outlinePr summaryBelow="0" summaryRight="0"/>
  </sheetPr>
  <dimension ref="A1:P6"/>
  <sheetViews>
    <sheetView showGridLines="0" zoomScale="80" workbookViewId="0">
      <pane xSplit="9" ySplit="5" topLeftCell="J6" activePane="bottomRight" state="frozen"/>
      <selection activeCell="J6" sqref="J6"/>
      <selection pane="topRight" activeCell="J6" sqref="J6"/>
      <selection pane="bottomLeft" activeCell="J6" sqref="J6"/>
      <selection pane="bottomRight" activeCell="J6" sqref="J6"/>
    </sheetView>
  </sheetViews>
  <sheetFormatPr defaultColWidth="0" defaultRowHeight="13"/>
  <cols>
    <col min="1" max="2" width="1.44140625" style="27" customWidth="1"/>
    <col min="3" max="3" width="1.44140625" style="69" customWidth="1"/>
    <col min="4" max="4" width="1.44140625" style="111" customWidth="1"/>
    <col min="5" max="5" width="23.33203125" bestFit="1" customWidth="1"/>
    <col min="6" max="6" width="20.88671875" bestFit="1" customWidth="1"/>
    <col min="7" max="7" width="13.21875" bestFit="1" customWidth="1"/>
    <col min="8" max="8" width="7.6640625" style="41" bestFit="1" customWidth="1"/>
    <col min="9" max="9" width="3.44140625" customWidth="1"/>
    <col min="10" max="16" width="15.109375" customWidth="1"/>
    <col min="17" max="17" width="15.109375" hidden="1" customWidth="1"/>
    <col min="18" max="16384" width="15.109375" hidden="1"/>
  </cols>
  <sheetData>
    <row r="1" spans="1:16" s="110" customFormat="1" ht="25">
      <c r="A1" s="46" t="str">
        <f ca="1" xml:space="preserve"> RIGHT(CELL("filename", A1), LEN(CELL("filename", A1)) - SEARCH("]", CELL("filename", A1)))</f>
        <v>Fund Report</v>
      </c>
      <c r="B1" s="104"/>
      <c r="C1" s="103"/>
      <c r="D1" s="106"/>
      <c r="F1" s="49" t="str">
        <f>HYPERLINK("#Contents!A1","Go to contents")</f>
        <v>Go to contents</v>
      </c>
      <c r="H1" s="68"/>
      <c r="J1" s="68"/>
    </row>
    <row r="2" spans="1:16" s="50" customFormat="1">
      <c r="A2" s="66"/>
      <c r="B2" s="66"/>
      <c r="C2" s="102"/>
      <c r="D2" s="114"/>
      <c r="E2" s="17" t="s">
        <v>178</v>
      </c>
      <c r="F2" s="51">
        <v>0</v>
      </c>
      <c r="G2" s="52" t="s">
        <v>72</v>
      </c>
      <c r="H2" s="75"/>
      <c r="I2" s="75"/>
      <c r="J2" s="4"/>
      <c r="K2" s="4"/>
      <c r="L2" s="4"/>
      <c r="M2" s="4"/>
      <c r="N2" s="4"/>
      <c r="O2" s="4"/>
      <c r="P2" s="4"/>
    </row>
    <row r="3" spans="1:16" s="32" customFormat="1">
      <c r="A3" s="66"/>
      <c r="B3" s="66"/>
      <c r="C3" s="102"/>
      <c r="D3" s="114"/>
      <c r="E3" s="37" t="s">
        <v>107</v>
      </c>
      <c r="F3" s="51"/>
      <c r="G3" s="52" t="s">
        <v>45</v>
      </c>
      <c r="H3" s="75"/>
      <c r="I3" s="75"/>
      <c r="J3" s="5"/>
      <c r="K3" s="5"/>
      <c r="L3" s="5"/>
      <c r="M3" s="5"/>
      <c r="N3" s="5"/>
      <c r="O3" s="5"/>
      <c r="P3" s="5"/>
    </row>
    <row r="4" spans="1:16" s="30" customFormat="1">
      <c r="A4" s="66"/>
      <c r="B4" s="66"/>
      <c r="C4" s="102"/>
      <c r="D4" s="114"/>
      <c r="E4" s="17" t="s">
        <v>179</v>
      </c>
      <c r="F4"/>
      <c r="G4"/>
      <c r="H4" s="75"/>
      <c r="I4" s="75"/>
    </row>
    <row r="5" spans="1:16" s="32" customFormat="1">
      <c r="A5" s="66"/>
      <c r="B5" s="66"/>
      <c r="C5" s="102"/>
      <c r="D5" s="114"/>
      <c r="E5" s="17" t="s">
        <v>165</v>
      </c>
      <c r="F5" s="27" t="s">
        <v>129</v>
      </c>
      <c r="G5" s="27" t="s">
        <v>118</v>
      </c>
      <c r="H5" s="27" t="s">
        <v>106</v>
      </c>
      <c r="I5" s="75"/>
      <c r="J5" s="8"/>
      <c r="K5" s="8"/>
      <c r="L5" s="8"/>
      <c r="M5" s="8"/>
      <c r="N5" s="8"/>
      <c r="O5" s="8"/>
      <c r="P5" s="8"/>
    </row>
    <row r="6" spans="1:16" s="41" customFormat="1">
      <c r="A6" s="27"/>
      <c r="B6" s="27"/>
      <c r="C6" s="69"/>
      <c r="D6" s="107"/>
      <c r="F6" s="27"/>
      <c r="G6" s="27"/>
      <c r="H6" s="27"/>
    </row>
  </sheetData>
  <conditionalFormatting sqref="F2:F3">
    <cfRule type="cellIs" dxfId="21" priority="1" stopIfTrue="1" operator="notEqual">
      <formula>0</formula>
    </cfRule>
    <cfRule type="cellIs" dxfId="20" priority="2" stopIfTrue="1" operator="equal">
      <formula>""</formula>
    </cfRule>
  </conditionalFormatting>
  <conditionalFormatting sqref="J3:P3">
    <cfRule type="cellIs" dxfId="19" priority="3" operator="equal">
      <formula>"PPA ext."</formula>
    </cfRule>
    <cfRule type="cellIs" dxfId="18" priority="4" operator="equal">
      <formula>"Delay"</formula>
    </cfRule>
    <cfRule type="cellIs" dxfId="17" priority="5" operator="equal">
      <formula>"Fin Close"</formula>
    </cfRule>
    <cfRule type="cellIs" dxfId="16" priority="6" stopIfTrue="1" operator="equal">
      <formula>"Construction"</formula>
    </cfRule>
    <cfRule type="cellIs" dxfId="15" priority="7" stopIfTrue="1" operator="equal">
      <formula>"Operations"</formula>
    </cfRule>
  </conditionalFormatting>
  <pageMargins left="0.7" right="0.7" top="0.75" bottom="0.75" header="0.3" footer="0.3"/>
  <customProperties>
    <customPr name="MMGroup" r:id="rId1"/>
    <customPr name="MMSheetType" r:id="rId2"/>
  </customPropertie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rgb="FF4F81BD"/>
    <outlinePr summaryBelow="0" summaryRight="0"/>
  </sheetPr>
  <dimension ref="A1:P6"/>
  <sheetViews>
    <sheetView showGridLines="0" zoomScale="80" workbookViewId="0">
      <pane xSplit="9" ySplit="5" topLeftCell="J6" activePane="bottomRight" state="frozen"/>
      <selection activeCell="J6" sqref="J6"/>
      <selection pane="topRight" activeCell="J6" sqref="J6"/>
      <selection pane="bottomLeft" activeCell="J6" sqref="J6"/>
      <selection pane="bottomRight" activeCell="J6" sqref="J6"/>
    </sheetView>
  </sheetViews>
  <sheetFormatPr defaultColWidth="0" defaultRowHeight="13"/>
  <cols>
    <col min="1" max="2" width="1.44140625" style="27" customWidth="1"/>
    <col min="3" max="3" width="1.44140625" style="69" customWidth="1"/>
    <col min="4" max="4" width="1.44140625" style="111" customWidth="1"/>
    <col min="5" max="5" width="23.33203125" bestFit="1" customWidth="1"/>
    <col min="6" max="6" width="20.88671875" bestFit="1" customWidth="1"/>
    <col min="7" max="7" width="13.21875" bestFit="1" customWidth="1"/>
    <col min="8" max="8" width="7.6640625" style="41" bestFit="1" customWidth="1"/>
    <col min="9" max="9" width="3.44140625" customWidth="1"/>
    <col min="10" max="16" width="15.109375" customWidth="1"/>
    <col min="17" max="17" width="15.109375" hidden="1" customWidth="1"/>
    <col min="18" max="16384" width="15.109375" hidden="1"/>
  </cols>
  <sheetData>
    <row r="1" spans="1:16" s="110" customFormat="1" ht="25">
      <c r="A1" s="46" t="str">
        <f ca="1" xml:space="preserve"> RIGHT(CELL("filename", A1), LEN(CELL("filename", A1)) - SEARCH("]", CELL("filename", A1)))</f>
        <v>Portfolio Report</v>
      </c>
      <c r="B1" s="104"/>
      <c r="C1" s="103"/>
      <c r="D1" s="106"/>
      <c r="F1" s="49" t="str">
        <f>HYPERLINK("#Contents!A1","Go to contents")</f>
        <v>Go to contents</v>
      </c>
      <c r="H1" s="68"/>
      <c r="J1" s="68"/>
    </row>
    <row r="2" spans="1:16" s="50" customFormat="1">
      <c r="A2" s="66"/>
      <c r="B2" s="66"/>
      <c r="C2" s="102"/>
      <c r="D2" s="114"/>
      <c r="E2" s="17" t="s">
        <v>178</v>
      </c>
      <c r="F2" s="51">
        <v>0</v>
      </c>
      <c r="G2" s="52" t="s">
        <v>72</v>
      </c>
      <c r="H2" s="75"/>
      <c r="I2" s="75"/>
      <c r="J2" s="4"/>
      <c r="K2" s="4"/>
      <c r="L2" s="4"/>
      <c r="M2" s="4"/>
      <c r="N2" s="4"/>
      <c r="O2" s="4"/>
      <c r="P2" s="4"/>
    </row>
    <row r="3" spans="1:16" s="32" customFormat="1">
      <c r="A3" s="66"/>
      <c r="B3" s="66"/>
      <c r="C3" s="102"/>
      <c r="D3" s="114"/>
      <c r="E3" s="37" t="s">
        <v>107</v>
      </c>
      <c r="F3" s="51"/>
      <c r="G3" s="52" t="s">
        <v>45</v>
      </c>
      <c r="H3" s="75"/>
      <c r="I3" s="75"/>
      <c r="J3" s="5"/>
      <c r="K3" s="5"/>
      <c r="L3" s="5"/>
      <c r="M3" s="5"/>
      <c r="N3" s="5"/>
      <c r="O3" s="5"/>
      <c r="P3" s="5"/>
    </row>
    <row r="4" spans="1:16" s="30" customFormat="1">
      <c r="A4" s="66"/>
      <c r="B4" s="66"/>
      <c r="C4" s="102"/>
      <c r="D4" s="114"/>
      <c r="E4" s="17" t="s">
        <v>179</v>
      </c>
      <c r="F4"/>
      <c r="G4"/>
      <c r="H4" s="75"/>
      <c r="I4" s="75"/>
    </row>
    <row r="5" spans="1:16" s="32" customFormat="1">
      <c r="A5" s="66"/>
      <c r="B5" s="66"/>
      <c r="C5" s="102"/>
      <c r="D5" s="114"/>
      <c r="E5" s="17" t="s">
        <v>165</v>
      </c>
      <c r="F5" s="27" t="s">
        <v>129</v>
      </c>
      <c r="G5" s="27" t="s">
        <v>118</v>
      </c>
      <c r="H5" s="27" t="s">
        <v>106</v>
      </c>
      <c r="I5" s="75"/>
      <c r="J5" s="8"/>
      <c r="K5" s="8"/>
      <c r="L5" s="8"/>
      <c r="M5" s="8"/>
      <c r="N5" s="8"/>
      <c r="O5" s="8"/>
      <c r="P5" s="8"/>
    </row>
    <row r="6" spans="1:16" s="41" customFormat="1">
      <c r="A6" s="27"/>
      <c r="B6" s="27"/>
      <c r="C6" s="69"/>
      <c r="D6" s="107"/>
      <c r="F6" s="27"/>
      <c r="G6" s="27"/>
      <c r="H6" s="27"/>
    </row>
  </sheetData>
  <conditionalFormatting sqref="F2:F3">
    <cfRule type="cellIs" dxfId="14" priority="1" stopIfTrue="1" operator="notEqual">
      <formula>0</formula>
    </cfRule>
    <cfRule type="cellIs" dxfId="13" priority="2" stopIfTrue="1" operator="equal">
      <formula>""</formula>
    </cfRule>
  </conditionalFormatting>
  <conditionalFormatting sqref="J3:P3">
    <cfRule type="cellIs" dxfId="12" priority="3" operator="equal">
      <formula>"PPA ext."</formula>
    </cfRule>
    <cfRule type="cellIs" dxfId="11" priority="4" operator="equal">
      <formula>"Delay"</formula>
    </cfRule>
    <cfRule type="cellIs" dxfId="10" priority="5" operator="equal">
      <formula>"Fin Close"</formula>
    </cfRule>
    <cfRule type="cellIs" dxfId="9" priority="6" stopIfTrue="1" operator="equal">
      <formula>"Construction"</formula>
    </cfRule>
    <cfRule type="cellIs" dxfId="8" priority="7" stopIfTrue="1" operator="equal">
      <formula>"Operations"</formula>
    </cfRule>
  </conditionalFormatting>
  <pageMargins left="0.7" right="0.7" top="0.75" bottom="0.75" header="0.3" footer="0.3"/>
  <customProperties>
    <customPr name="MMGroup" r:id="rId1"/>
    <customPr name="MMSheetType" r:id="rId2"/>
  </customPropertie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rgb="FF4F81BD"/>
    <outlinePr summaryBelow="0" summaryRight="0"/>
  </sheetPr>
  <dimension ref="A1:P6"/>
  <sheetViews>
    <sheetView showGridLines="0" zoomScale="80" workbookViewId="0">
      <selection activeCell="E2" sqref="E2:E5"/>
    </sheetView>
  </sheetViews>
  <sheetFormatPr defaultColWidth="0" defaultRowHeight="13"/>
  <cols>
    <col min="1" max="2" width="1.44140625" style="27" customWidth="1"/>
    <col min="3" max="3" width="1.44140625" style="69" customWidth="1"/>
    <col min="4" max="4" width="1.44140625" style="111" customWidth="1"/>
    <col min="5" max="5" width="71.44140625" customWidth="1"/>
    <col min="6" max="6" width="16.33203125" customWidth="1"/>
    <col min="7" max="7" width="15.109375" customWidth="1"/>
    <col min="8" max="8" width="15.109375" style="41" customWidth="1"/>
    <col min="9" max="9" width="3.44140625" customWidth="1"/>
    <col min="10" max="16" width="15.109375" customWidth="1"/>
    <col min="17" max="17" width="15.109375" hidden="1" customWidth="1"/>
    <col min="18" max="16384" width="15.109375" hidden="1"/>
  </cols>
  <sheetData>
    <row r="1" spans="1:16" s="110" customFormat="1" ht="25">
      <c r="A1" s="46" t="str">
        <f ca="1" xml:space="preserve"> RIGHT(CELL("filename", A1), LEN(CELL("filename", A1)) - SEARCH("]", CELL("filename", A1)))</f>
        <v>Results Table</v>
      </c>
      <c r="B1" s="104"/>
      <c r="C1" s="103"/>
      <c r="D1" s="106"/>
      <c r="F1" s="49" t="str">
        <f>HYPERLINK("#Contents!A1","Go to contents")</f>
        <v>Go to contents</v>
      </c>
      <c r="H1" s="68"/>
      <c r="J1" s="68"/>
    </row>
    <row r="2" spans="1:16" s="50" customFormat="1">
      <c r="A2" s="66"/>
      <c r="B2" s="66"/>
      <c r="C2" s="102"/>
      <c r="D2" s="114"/>
      <c r="E2" s="17" t="s">
        <v>178</v>
      </c>
      <c r="F2" s="51">
        <v>0</v>
      </c>
      <c r="G2" s="52" t="s">
        <v>72</v>
      </c>
      <c r="H2" s="75"/>
      <c r="I2" s="75"/>
      <c r="J2" s="4"/>
      <c r="K2" s="4"/>
      <c r="L2" s="4"/>
      <c r="M2" s="4"/>
      <c r="N2" s="4"/>
      <c r="O2" s="4"/>
      <c r="P2" s="4"/>
    </row>
    <row r="3" spans="1:16" s="32" customFormat="1">
      <c r="A3" s="66"/>
      <c r="B3" s="66"/>
      <c r="C3" s="102"/>
      <c r="D3" s="114"/>
      <c r="E3" s="37" t="s">
        <v>107</v>
      </c>
      <c r="F3" s="51"/>
      <c r="G3" s="52" t="s">
        <v>45</v>
      </c>
      <c r="H3" s="75"/>
      <c r="I3" s="75"/>
      <c r="J3" s="5"/>
      <c r="K3" s="5"/>
      <c r="L3" s="5"/>
      <c r="M3" s="5"/>
      <c r="N3" s="5"/>
      <c r="O3" s="5"/>
      <c r="P3" s="5"/>
    </row>
    <row r="4" spans="1:16" s="30" customFormat="1">
      <c r="A4" s="66"/>
      <c r="B4" s="66"/>
      <c r="C4" s="102"/>
      <c r="D4" s="114"/>
      <c r="E4" s="17" t="s">
        <v>179</v>
      </c>
      <c r="F4"/>
      <c r="G4"/>
      <c r="H4" s="75"/>
      <c r="I4" s="75"/>
    </row>
    <row r="5" spans="1:16" s="32" customFormat="1">
      <c r="A5" s="66"/>
      <c r="B5" s="66"/>
      <c r="C5" s="102"/>
      <c r="D5" s="114"/>
      <c r="E5" s="17" t="s">
        <v>165</v>
      </c>
      <c r="F5" s="27"/>
      <c r="G5" s="27" t="s">
        <v>118</v>
      </c>
      <c r="H5" s="27"/>
      <c r="I5" s="75"/>
      <c r="J5" s="8"/>
      <c r="K5" s="8"/>
      <c r="L5" s="8"/>
      <c r="M5" s="8"/>
      <c r="N5" s="8"/>
      <c r="O5" s="8"/>
      <c r="P5" s="8"/>
    </row>
    <row r="6" spans="1:16" s="41" customFormat="1">
      <c r="A6" s="27"/>
      <c r="B6" s="27"/>
      <c r="C6" s="69"/>
      <c r="D6" s="107"/>
      <c r="F6" s="27"/>
      <c r="G6" s="27"/>
      <c r="H6" s="27"/>
    </row>
  </sheetData>
  <conditionalFormatting sqref="F2:F3">
    <cfRule type="cellIs" dxfId="7" priority="1" stopIfTrue="1" operator="notEqual">
      <formula>0</formula>
    </cfRule>
    <cfRule type="cellIs" dxfId="6" priority="2" stopIfTrue="1" operator="equal">
      <formula>""</formula>
    </cfRule>
  </conditionalFormatting>
  <conditionalFormatting sqref="J3:P3">
    <cfRule type="cellIs" dxfId="5" priority="3" operator="equal">
      <formula>"PPA ext."</formula>
    </cfRule>
    <cfRule type="cellIs" dxfId="4" priority="4" operator="equal">
      <formula>"Delay"</formula>
    </cfRule>
    <cfRule type="cellIs" dxfId="3" priority="5" operator="equal">
      <formula>"Fin Close"</formula>
    </cfRule>
    <cfRule type="cellIs" dxfId="2" priority="6" stopIfTrue="1" operator="equal">
      <formula>"Construction"</formula>
    </cfRule>
    <cfRule type="cellIs" dxfId="1" priority="7" stopIfTrue="1" operator="equal">
      <formula>"Operations"</formula>
    </cfRule>
  </conditionalFormatting>
  <pageMargins left="0.7" right="0.7" top="0.75" bottom="0.75" header="0.3" footer="0.3"/>
  <customProperties>
    <customPr name="MMSheetType" r:id="rId1"/>
  </customPropertie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rgb="FF4F81BD"/>
    <outlinePr summaryBelow="0" summaryRight="0"/>
  </sheetPr>
  <dimension ref="A1:R25"/>
  <sheetViews>
    <sheetView showGridLines="0" defaultGridColor="0" colorId="22" zoomScale="110" workbookViewId="0">
      <pane xSplit="9" ySplit="5" topLeftCell="J6" activePane="bottomRight" state="frozen"/>
      <selection activeCell="J6" sqref="J6"/>
      <selection pane="topRight" activeCell="J6" sqref="J6"/>
      <selection pane="bottomLeft" activeCell="J6" sqref="J6"/>
      <selection pane="bottomRight" activeCell="J2" sqref="J2"/>
    </sheetView>
  </sheetViews>
  <sheetFormatPr defaultColWidth="0" defaultRowHeight="13" outlineLevelRow="1"/>
  <cols>
    <col min="1" max="2" width="1.44140625" style="135" customWidth="1"/>
    <col min="3" max="3" width="1.44140625" style="201" customWidth="1"/>
    <col min="4" max="4" width="1.44140625" style="146" customWidth="1"/>
    <col min="5" max="5" width="47.33203125" style="48" customWidth="1"/>
    <col min="6" max="6" width="14.6640625" style="48" customWidth="1"/>
    <col min="7" max="7" width="13.44140625" style="48" customWidth="1"/>
    <col min="8" max="8" width="14.6640625" style="48" customWidth="1"/>
    <col min="9" max="9" width="3" style="76" customWidth="1"/>
    <col min="10" max="10" width="5.33203125" style="119" customWidth="1"/>
    <col min="11" max="11" width="13.44140625" style="179" customWidth="1"/>
    <col min="12" max="12" width="13.44140625" style="293" customWidth="1"/>
    <col min="13" max="13" width="0.44140625" style="101" customWidth="1"/>
    <col min="14" max="16" width="14.6640625" style="37" customWidth="1"/>
    <col min="17" max="17" width="0.44140625" style="101" customWidth="1"/>
    <col min="18" max="18" width="9.109375" style="94" hidden="1" customWidth="1"/>
    <col min="19" max="19" width="10.44140625" style="94" hidden="1" customWidth="1"/>
    <col min="20" max="16384" width="10.44140625" style="94" hidden="1"/>
  </cols>
  <sheetData>
    <row r="1" spans="1:17" ht="25">
      <c r="A1" s="226" t="s">
        <v>40</v>
      </c>
      <c r="B1" s="219"/>
      <c r="C1" s="223"/>
      <c r="D1" s="287"/>
      <c r="E1" s="56"/>
      <c r="F1" s="222"/>
      <c r="G1" s="56"/>
      <c r="H1" s="56"/>
      <c r="I1" s="220"/>
      <c r="J1" s="284"/>
      <c r="K1" s="300"/>
      <c r="L1" s="235"/>
      <c r="N1" s="129"/>
      <c r="O1" s="129"/>
      <c r="P1" s="129"/>
    </row>
    <row r="2" spans="1:17">
      <c r="A2" s="296"/>
      <c r="B2" s="71"/>
      <c r="C2" s="124"/>
      <c r="E2" s="252"/>
      <c r="F2" s="94"/>
      <c r="G2" s="94" t="s">
        <v>152</v>
      </c>
      <c r="H2" s="263">
        <f ca="1" xml:space="preserve"> TODAY()</f>
        <v>45179</v>
      </c>
      <c r="J2" s="255">
        <f xml:space="preserve"> COUNTIF(J6:J24, "tu")</f>
        <v>0</v>
      </c>
      <c r="N2" s="137"/>
      <c r="O2" s="137"/>
      <c r="P2" s="137"/>
    </row>
    <row r="3" spans="1:17" s="179" customFormat="1" ht="12.5">
      <c r="A3" s="53"/>
      <c r="B3" s="53"/>
      <c r="C3" s="124"/>
      <c r="D3" s="146"/>
      <c r="E3" s="252"/>
      <c r="G3" s="179" t="s">
        <v>25</v>
      </c>
      <c r="H3" s="278" t="s">
        <v>120</v>
      </c>
      <c r="I3" s="124"/>
      <c r="J3" s="249"/>
      <c r="K3" s="209"/>
      <c r="L3" s="206"/>
      <c r="M3" s="207"/>
      <c r="N3" s="143"/>
      <c r="O3" s="143"/>
      <c r="P3" s="143"/>
      <c r="Q3" s="207"/>
    </row>
    <row r="4" spans="1:17">
      <c r="A4" s="71"/>
      <c r="B4" s="71"/>
      <c r="C4" s="124"/>
      <c r="E4" s="112"/>
      <c r="F4" s="94"/>
      <c r="G4" s="94"/>
      <c r="H4" s="251"/>
      <c r="I4" s="124"/>
      <c r="J4" s="249"/>
      <c r="N4" s="112"/>
      <c r="O4" s="112"/>
      <c r="P4" s="112"/>
    </row>
    <row r="5" spans="1:17">
      <c r="A5" s="71"/>
      <c r="B5" s="71"/>
      <c r="C5" s="124"/>
      <c r="D5" s="112"/>
      <c r="E5" s="53" t="s">
        <v>119</v>
      </c>
      <c r="F5" s="105"/>
      <c r="G5" s="242" t="s">
        <v>118</v>
      </c>
      <c r="H5" s="218">
        <v>1</v>
      </c>
      <c r="I5" s="53"/>
      <c r="J5" s="125">
        <f xml:space="preserve"> MATCH($H$5, M5:Q5, 0)</f>
        <v>2</v>
      </c>
      <c r="K5" s="209" t="s">
        <v>108</v>
      </c>
      <c r="L5" s="206" t="s">
        <v>56</v>
      </c>
      <c r="N5" s="150">
        <v>1</v>
      </c>
      <c r="O5" s="150">
        <v>2</v>
      </c>
      <c r="P5" s="150">
        <v>3</v>
      </c>
    </row>
    <row r="6" spans="1:17" s="292" customFormat="1">
      <c r="A6" s="173"/>
      <c r="B6" s="173"/>
      <c r="C6" s="250"/>
      <c r="D6" s="216"/>
      <c r="E6" s="291" t="s">
        <v>98</v>
      </c>
      <c r="F6" s="230"/>
      <c r="G6" s="97"/>
      <c r="H6" s="97"/>
      <c r="I6" s="97"/>
      <c r="J6" s="158"/>
      <c r="K6" s="264"/>
      <c r="L6" s="108"/>
      <c r="M6" s="101"/>
      <c r="N6" s="97"/>
      <c r="O6" s="97"/>
      <c r="P6" s="97"/>
      <c r="Q6" s="101"/>
    </row>
    <row r="7" spans="1:17" s="261" customFormat="1">
      <c r="A7" s="71"/>
      <c r="B7" s="71"/>
      <c r="C7" s="124"/>
      <c r="D7" s="105"/>
      <c r="E7" s="231"/>
      <c r="F7" s="168"/>
      <c r="G7" s="76"/>
      <c r="H7" s="76"/>
      <c r="I7" s="76"/>
      <c r="J7" s="125"/>
      <c r="K7" s="214"/>
      <c r="L7" s="170"/>
      <c r="M7" s="101"/>
      <c r="N7" s="76"/>
      <c r="O7" s="76"/>
      <c r="P7" s="76"/>
      <c r="Q7" s="101"/>
    </row>
    <row r="8" spans="1:17" s="261" customFormat="1">
      <c r="A8" s="71" t="s">
        <v>130</v>
      </c>
      <c r="B8" s="71"/>
      <c r="C8" s="124"/>
      <c r="D8" s="105"/>
      <c r="E8" s="76"/>
      <c r="F8" s="168"/>
      <c r="G8" s="76"/>
      <c r="H8" s="76"/>
      <c r="I8" s="76"/>
      <c r="J8" s="197"/>
      <c r="K8" s="217"/>
      <c r="L8" s="81"/>
      <c r="M8" s="101"/>
      <c r="N8" s="53"/>
      <c r="O8" s="53"/>
      <c r="P8" s="53"/>
      <c r="Q8" s="228"/>
    </row>
    <row r="9" spans="1:17" outlineLevel="1">
      <c r="A9" s="71"/>
      <c r="B9" s="71"/>
      <c r="C9" s="124"/>
      <c r="D9" s="105"/>
      <c r="L9" s="126"/>
      <c r="N9" s="92"/>
      <c r="O9" s="92"/>
      <c r="P9" s="92"/>
    </row>
    <row r="10" spans="1:17" s="126" customFormat="1" outlineLevel="1">
      <c r="A10" s="122"/>
      <c r="B10" s="122"/>
      <c r="C10" s="81"/>
      <c r="D10" s="81"/>
      <c r="E10" s="91"/>
      <c r="F10" s="164"/>
      <c r="G10" s="91"/>
      <c r="H10" s="91"/>
      <c r="I10" s="202"/>
      <c r="J10" s="197" t="s">
        <v>88</v>
      </c>
      <c r="K10" s="81">
        <f t="shared" ref="K10:K13" si="0" xml:space="preserve"> H10 - INDEX(M10:Q10, $J$5)</f>
        <v>0</v>
      </c>
      <c r="L10" s="81">
        <v>0</v>
      </c>
      <c r="M10" s="108"/>
      <c r="N10" s="96"/>
      <c r="O10" s="96"/>
      <c r="P10" s="96"/>
      <c r="Q10" s="108"/>
    </row>
    <row r="11" spans="1:17" s="277" customFormat="1" outlineLevel="1">
      <c r="A11" s="183"/>
      <c r="B11" s="183"/>
      <c r="C11" s="127"/>
      <c r="D11" s="127"/>
      <c r="E11" s="152"/>
      <c r="F11" s="295"/>
      <c r="G11" s="152"/>
      <c r="H11" s="152"/>
      <c r="I11" s="245"/>
      <c r="J11" s="197" t="s">
        <v>88</v>
      </c>
      <c r="K11" s="127">
        <f t="shared" si="0"/>
        <v>0</v>
      </c>
      <c r="L11" s="81">
        <v>0</v>
      </c>
      <c r="M11" s="167"/>
      <c r="N11" s="133"/>
      <c r="O11" s="133"/>
      <c r="P11" s="133"/>
      <c r="Q11" s="167"/>
    </row>
    <row r="12" spans="1:17" s="277" customFormat="1" outlineLevel="1">
      <c r="A12" s="183"/>
      <c r="B12" s="183"/>
      <c r="C12" s="127"/>
      <c r="D12" s="127"/>
      <c r="E12" s="152"/>
      <c r="F12" s="295"/>
      <c r="G12" s="152"/>
      <c r="H12" s="152"/>
      <c r="I12" s="245"/>
      <c r="J12" s="197" t="s">
        <v>88</v>
      </c>
      <c r="K12" s="127">
        <f t="shared" si="0"/>
        <v>0</v>
      </c>
      <c r="L12" s="81">
        <v>0</v>
      </c>
      <c r="M12" s="167"/>
      <c r="N12" s="133"/>
      <c r="O12" s="133"/>
      <c r="P12" s="133"/>
      <c r="Q12" s="167"/>
    </row>
    <row r="13" spans="1:17" s="126" customFormat="1" outlineLevel="1">
      <c r="A13" s="122"/>
      <c r="B13" s="122"/>
      <c r="C13" s="81"/>
      <c r="D13" s="81"/>
      <c r="E13" s="91"/>
      <c r="F13" s="164"/>
      <c r="G13" s="91"/>
      <c r="H13" s="91"/>
      <c r="I13" s="202"/>
      <c r="J13" s="197" t="s">
        <v>88</v>
      </c>
      <c r="K13" s="81">
        <f t="shared" si="0"/>
        <v>0</v>
      </c>
      <c r="L13" s="81">
        <v>0</v>
      </c>
      <c r="M13" s="108"/>
      <c r="N13" s="96"/>
      <c r="O13" s="96"/>
      <c r="P13" s="96"/>
      <c r="Q13" s="108"/>
    </row>
    <row r="14" spans="1:17" outlineLevel="1">
      <c r="A14" s="71"/>
      <c r="B14" s="71"/>
      <c r="C14" s="53"/>
      <c r="D14" s="105"/>
      <c r="E14" s="76"/>
      <c r="F14" s="168"/>
      <c r="G14" s="279"/>
      <c r="H14" s="170"/>
      <c r="I14" s="298"/>
      <c r="L14" s="126"/>
      <c r="M14" s="169"/>
      <c r="N14" s="92"/>
      <c r="O14" s="92"/>
      <c r="P14" s="92"/>
      <c r="Q14" s="169"/>
    </row>
    <row r="15" spans="1:17">
      <c r="A15" s="163"/>
      <c r="B15" s="163"/>
      <c r="C15" s="285"/>
      <c r="D15" s="227"/>
      <c r="E15" s="149"/>
      <c r="F15" s="149"/>
      <c r="G15" s="149"/>
      <c r="H15" s="289"/>
      <c r="I15" s="53"/>
      <c r="L15" s="126"/>
      <c r="M15" s="189"/>
      <c r="N15" s="92"/>
      <c r="O15" s="92"/>
      <c r="P15" s="92"/>
      <c r="Q15" s="189"/>
    </row>
    <row r="16" spans="1:17">
      <c r="A16" s="163"/>
      <c r="B16" s="163"/>
      <c r="C16" s="285"/>
      <c r="D16" s="227"/>
      <c r="E16" s="149"/>
      <c r="F16" s="149"/>
      <c r="G16" s="149"/>
      <c r="H16" s="289"/>
      <c r="I16" s="53"/>
      <c r="L16" s="126"/>
      <c r="M16" s="189"/>
      <c r="N16" s="92"/>
      <c r="O16" s="92"/>
      <c r="P16" s="92"/>
      <c r="Q16" s="189"/>
    </row>
    <row r="17" spans="1:17" s="294" customFormat="1" outlineLevel="1">
      <c r="A17" s="105"/>
      <c r="B17" s="163"/>
      <c r="C17" s="53"/>
      <c r="D17" s="53"/>
      <c r="E17" s="113"/>
      <c r="F17" s="113"/>
      <c r="G17" s="113"/>
      <c r="H17" s="113"/>
      <c r="I17" s="113"/>
      <c r="J17" s="215"/>
      <c r="L17" s="281"/>
      <c r="M17" s="165"/>
      <c r="N17" s="128"/>
      <c r="O17" s="128"/>
      <c r="P17" s="128"/>
      <c r="Q17" s="165"/>
    </row>
    <row r="18" spans="1:17" s="140" customFormat="1">
      <c r="A18" s="105"/>
      <c r="B18" s="163"/>
      <c r="C18" s="53"/>
      <c r="D18" s="53"/>
      <c r="E18" s="113"/>
      <c r="F18" s="113"/>
      <c r="G18" s="113"/>
      <c r="H18" s="113"/>
      <c r="I18" s="113"/>
      <c r="J18" s="119"/>
      <c r="L18" s="154"/>
      <c r="M18" s="182"/>
      <c r="N18" s="128"/>
      <c r="O18" s="128"/>
      <c r="P18" s="128"/>
      <c r="Q18" s="182"/>
    </row>
    <row r="19" spans="1:17" s="192" customFormat="1">
      <c r="A19" s="71" t="s">
        <v>177</v>
      </c>
      <c r="B19" s="53"/>
      <c r="C19" s="53"/>
      <c r="D19" s="53"/>
      <c r="E19" s="72"/>
      <c r="F19" s="212"/>
      <c r="G19" s="72"/>
      <c r="H19" s="72"/>
      <c r="I19" s="72"/>
      <c r="J19" s="125"/>
      <c r="L19" s="237"/>
      <c r="M19" s="182"/>
      <c r="N19" s="136"/>
      <c r="O19" s="136"/>
      <c r="P19" s="136"/>
      <c r="Q19" s="182"/>
    </row>
    <row r="20" spans="1:17" s="140" customFormat="1" outlineLevel="1">
      <c r="A20" s="196"/>
      <c r="B20" s="196"/>
      <c r="C20" s="225"/>
      <c r="D20" s="267"/>
      <c r="E20" s="273" t="s">
        <v>73</v>
      </c>
      <c r="F20" s="82"/>
      <c r="G20" s="253"/>
      <c r="H20" s="266">
        <f ca="1" xml:space="preserve"> NOW()</f>
        <v>45179.444735532408</v>
      </c>
      <c r="I20" s="72"/>
      <c r="J20" s="119"/>
      <c r="K20" s="192"/>
      <c r="L20" s="237"/>
      <c r="M20" s="182"/>
      <c r="N20" s="139"/>
      <c r="O20" s="139"/>
      <c r="P20" s="139"/>
      <c r="Q20" s="182"/>
    </row>
    <row r="21" spans="1:17" s="140" customFormat="1" outlineLevel="1">
      <c r="A21" s="71"/>
      <c r="B21" s="71"/>
      <c r="C21" s="124"/>
      <c r="D21" s="53"/>
      <c r="E21" s="17" t="s">
        <v>142</v>
      </c>
      <c r="F21" s="82"/>
      <c r="G21" s="17"/>
      <c r="H21" s="270" t="str">
        <f ca="1" xml:space="preserve"> MID(CELL("filename",$A$1), SEARCH("[", CELL("filename",$A$1)) + 1, SEARCH("]", CELL("filename",$A$1)) - SEARCH("[", CELL("filename",$A$1)) - 1)</f>
        <v>NP3.xlsx</v>
      </c>
      <c r="I21" s="72"/>
      <c r="J21" s="119"/>
      <c r="K21" s="192"/>
      <c r="L21" s="237"/>
      <c r="M21" s="182"/>
      <c r="N21" s="132"/>
      <c r="O21" s="132"/>
      <c r="P21" s="132"/>
      <c r="Q21" s="182"/>
    </row>
    <row r="22" spans="1:17" s="140" customFormat="1" outlineLevel="1">
      <c r="A22" s="71"/>
      <c r="B22" s="71"/>
      <c r="C22" s="124"/>
      <c r="D22" s="105"/>
      <c r="E22" s="247"/>
      <c r="F22" s="212"/>
      <c r="G22" s="72"/>
      <c r="H22" s="72"/>
      <c r="I22" s="72"/>
      <c r="J22" s="125"/>
      <c r="K22" s="192"/>
      <c r="L22" s="237"/>
      <c r="M22" s="182"/>
      <c r="N22" s="72"/>
      <c r="O22" s="72"/>
      <c r="P22" s="72"/>
      <c r="Q22" s="182"/>
    </row>
    <row r="23" spans="1:17" s="140" customFormat="1">
      <c r="A23" s="71"/>
      <c r="B23" s="71"/>
      <c r="C23" s="124"/>
      <c r="D23" s="105"/>
      <c r="E23" s="247"/>
      <c r="F23" s="212"/>
      <c r="G23" s="72"/>
      <c r="H23" s="72"/>
      <c r="I23" s="72"/>
      <c r="J23" s="125"/>
      <c r="K23" s="192"/>
      <c r="L23" s="237"/>
      <c r="M23" s="182"/>
      <c r="N23" s="72"/>
      <c r="O23" s="72"/>
      <c r="P23" s="72"/>
      <c r="Q23" s="182"/>
    </row>
    <row r="24" spans="1:17" s="259" customFormat="1">
      <c r="A24" s="211"/>
      <c r="B24" s="211"/>
      <c r="C24" s="224"/>
      <c r="D24" s="241"/>
      <c r="E24" s="299" t="s">
        <v>98</v>
      </c>
      <c r="F24" s="288"/>
      <c r="G24" s="155"/>
      <c r="H24" s="155"/>
      <c r="I24" s="272"/>
      <c r="J24" s="158" t="s">
        <v>32</v>
      </c>
      <c r="L24" s="286"/>
      <c r="M24" s="182"/>
      <c r="N24" s="141"/>
      <c r="O24" s="141"/>
      <c r="P24" s="141"/>
      <c r="Q24" s="182"/>
    </row>
    <row r="25" spans="1:17" s="140" customFormat="1">
      <c r="A25" s="135"/>
      <c r="B25" s="135"/>
      <c r="C25" s="201"/>
      <c r="D25" s="146"/>
      <c r="E25" s="17"/>
      <c r="F25" s="17"/>
      <c r="G25" s="17"/>
      <c r="H25" s="17"/>
      <c r="I25" s="72"/>
      <c r="J25" s="119"/>
      <c r="L25" s="154"/>
      <c r="M25" s="182"/>
      <c r="N25" s="17"/>
      <c r="O25" s="17"/>
      <c r="P25" s="17"/>
      <c r="Q25" s="182"/>
    </row>
  </sheetData>
  <conditionalFormatting sqref="J8 J10:J13">
    <cfRule type="cellIs" dxfId="0" priority="11" operator="equal">
      <formula>"tu"</formula>
    </cfRule>
  </conditionalFormatting>
  <printOptions gridLines="1"/>
  <pageMargins left="0.74803149606299213" right="0.74803149606299213" top="0.98425196850393704" bottom="0.98425196850393704" header="0.51181102362204722" footer="0.51181102362204722"/>
  <pageSetup paperSize="9" scale="55" orientation="landscape" blackAndWhite="1"/>
  <headerFooter>
    <oddHeader>&amp;LPROJECT YAHSAT&amp;CSheet:&amp;A&amp;RSTRICTLY CONFIDENTIAL</oddHeader>
    <oddFooter>&amp;L&amp;F ( Printed on &amp;D at &amp;T )&amp;RPage &amp;P of &amp;N</oddFooter>
  </headerFooter>
  <customProperties>
    <customPr name="MMSheetType" r:id="rId1"/>
  </customPropertie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outlinePr summaryBelow="0" summaryRight="0"/>
  </sheetPr>
  <dimension ref="A1:BC338"/>
  <sheetViews>
    <sheetView showGridLines="0" workbookViewId="0">
      <selection activeCell="G11" sqref="G11"/>
    </sheetView>
  </sheetViews>
  <sheetFormatPr defaultColWidth="0" defaultRowHeight="10"/>
  <cols>
    <col min="1" max="1" width="19.44140625" style="121" customWidth="1"/>
    <col min="2" max="2" width="42.33203125" style="121" customWidth="1"/>
    <col min="3" max="3" width="47.77734375" style="121" customWidth="1"/>
    <col min="4" max="4" width="21" style="121" bestFit="1" customWidth="1"/>
    <col min="5" max="5" width="18.6640625" style="121" bestFit="1" customWidth="1"/>
    <col min="6" max="6" width="19.77734375" style="121" bestFit="1" customWidth="1"/>
    <col min="7" max="7" width="23.44140625" style="121" bestFit="1" customWidth="1"/>
    <col min="8" max="8" width="104" style="121" customWidth="1"/>
    <col min="9" max="26" width="9.33203125" style="121" customWidth="1"/>
    <col min="27" max="55" width="9.109375" style="121" hidden="1" customWidth="1"/>
    <col min="56" max="56" width="9.33203125" style="121" hidden="1" customWidth="1"/>
    <col min="57" max="16384" width="9.33203125" style="121" hidden="1"/>
  </cols>
  <sheetData>
    <row r="1" spans="1:55" ht="25">
      <c r="A1" s="46" t="str">
        <f ca="1" xml:space="preserve"> RIGHT(CELL("filename", A1), LEN(CELL("filename", A1)) - SEARCH("]", CELL("filename", A1)))</f>
        <v>Issues</v>
      </c>
    </row>
    <row r="5" spans="1:55" ht="18">
      <c r="A5" s="7" t="s">
        <v>26</v>
      </c>
      <c r="B5" s="7" t="s">
        <v>90</v>
      </c>
      <c r="C5" s="7" t="s">
        <v>122</v>
      </c>
      <c r="D5" s="7" t="s">
        <v>27</v>
      </c>
      <c r="E5" s="7" t="s">
        <v>1</v>
      </c>
      <c r="F5" s="7" t="s">
        <v>74</v>
      </c>
      <c r="G5" s="7" t="s">
        <v>43</v>
      </c>
      <c r="H5" s="7" t="s">
        <v>44</v>
      </c>
      <c r="I5" s="7"/>
      <c r="J5" s="10"/>
      <c r="K5" s="10"/>
      <c r="L5" s="10"/>
      <c r="M5" s="10"/>
      <c r="N5" s="10"/>
      <c r="O5" s="10"/>
      <c r="P5" s="10"/>
      <c r="Q5" s="10"/>
      <c r="R5" s="10"/>
      <c r="S5" s="10"/>
      <c r="T5" s="10"/>
      <c r="U5" s="10"/>
      <c r="V5" s="10"/>
      <c r="W5" s="10"/>
      <c r="X5" s="10"/>
      <c r="Y5" s="10"/>
      <c r="Z5" s="10"/>
      <c r="AA5" s="10"/>
      <c r="AB5" s="10"/>
      <c r="AC5" s="10"/>
      <c r="AD5" s="10"/>
      <c r="AE5" s="10"/>
      <c r="AF5" s="10"/>
      <c r="AG5" s="10"/>
      <c r="AH5" s="10"/>
      <c r="AI5" s="10"/>
      <c r="AJ5" s="10"/>
      <c r="AK5" s="10"/>
      <c r="AL5" s="10"/>
      <c r="AM5" s="10"/>
      <c r="AN5" s="10"/>
      <c r="AO5" s="10"/>
      <c r="AP5" s="10"/>
      <c r="AQ5" s="10"/>
      <c r="AR5" s="10"/>
      <c r="AS5" s="10"/>
      <c r="AT5" s="10"/>
      <c r="AU5" s="10"/>
      <c r="AV5" s="10"/>
      <c r="AW5" s="10"/>
      <c r="AX5" s="10"/>
      <c r="AY5" s="10"/>
      <c r="AZ5" s="10"/>
      <c r="BA5" s="10"/>
      <c r="BB5" s="10"/>
      <c r="BC5" s="10"/>
    </row>
    <row r="6" spans="1:55" ht="12.5">
      <c r="A6" s="41"/>
      <c r="B6" s="41"/>
      <c r="C6" s="41"/>
      <c r="D6" s="271"/>
      <c r="E6" s="41"/>
      <c r="F6" s="41"/>
      <c r="G6" s="41"/>
      <c r="H6" s="41"/>
      <c r="I6" s="161"/>
      <c r="J6" s="161"/>
    </row>
    <row r="7" spans="1:55" ht="12.5">
      <c r="A7" s="41"/>
      <c r="B7" s="41"/>
      <c r="C7" s="41"/>
      <c r="D7" s="41"/>
      <c r="E7" s="41"/>
      <c r="F7" s="41"/>
      <c r="G7" s="41"/>
      <c r="H7" s="41"/>
      <c r="I7" s="161"/>
      <c r="J7" s="161"/>
    </row>
    <row r="8" spans="1:55" ht="12.5">
      <c r="A8" s="41"/>
      <c r="B8" s="41"/>
      <c r="C8" s="41"/>
      <c r="D8" s="41"/>
      <c r="E8" s="41"/>
      <c r="F8" s="41"/>
      <c r="G8" s="41"/>
      <c r="H8" s="41"/>
      <c r="I8" s="161"/>
      <c r="J8" s="161"/>
    </row>
    <row r="9" spans="1:55" ht="12.5">
      <c r="A9" s="41"/>
      <c r="B9" s="41"/>
      <c r="C9" s="41"/>
      <c r="D9" s="41"/>
      <c r="E9" s="41"/>
      <c r="F9" s="41"/>
      <c r="G9" s="41"/>
      <c r="H9" s="41"/>
      <c r="I9" s="161"/>
      <c r="J9" s="161"/>
    </row>
    <row r="10" spans="1:55" ht="12.5">
      <c r="A10" s="41"/>
      <c r="B10" s="41"/>
      <c r="C10" s="41"/>
      <c r="D10" s="41"/>
      <c r="E10" s="41"/>
      <c r="F10" s="41"/>
      <c r="G10" s="41"/>
      <c r="H10" s="41"/>
      <c r="I10" s="161"/>
      <c r="J10" s="161"/>
    </row>
    <row r="11" spans="1:55" ht="12.5">
      <c r="A11" s="41"/>
      <c r="B11" s="41"/>
      <c r="C11" s="41"/>
      <c r="D11" s="41"/>
      <c r="E11" s="41"/>
      <c r="F11" s="41"/>
      <c r="G11" s="41"/>
      <c r="H11" s="41"/>
      <c r="I11" s="161"/>
      <c r="J11" s="161"/>
    </row>
    <row r="12" spans="1:55" ht="12.5">
      <c r="A12" s="41"/>
      <c r="B12" s="41"/>
      <c r="C12" s="41"/>
      <c r="D12" s="41"/>
      <c r="E12" s="41"/>
      <c r="F12" s="41"/>
      <c r="G12" s="41"/>
      <c r="H12" s="41"/>
      <c r="I12" s="161"/>
      <c r="J12" s="161"/>
    </row>
    <row r="13" spans="1:55" ht="12.5">
      <c r="A13" s="41"/>
      <c r="B13" s="41"/>
      <c r="C13" s="41"/>
      <c r="D13" s="41"/>
      <c r="E13" s="41"/>
      <c r="F13" s="41"/>
      <c r="G13" s="41"/>
      <c r="H13" s="41"/>
      <c r="I13" s="161"/>
      <c r="J13" s="161"/>
    </row>
    <row r="14" spans="1:55" ht="12.5">
      <c r="A14" s="41"/>
      <c r="B14" s="41"/>
      <c r="C14" s="41"/>
      <c r="D14" s="41"/>
      <c r="E14" s="41"/>
      <c r="F14" s="41"/>
      <c r="G14" s="41"/>
      <c r="H14" s="41"/>
      <c r="I14" s="161"/>
      <c r="J14" s="161"/>
    </row>
    <row r="15" spans="1:55" ht="12.5">
      <c r="A15" s="41"/>
      <c r="B15" s="41"/>
      <c r="C15" s="41"/>
      <c r="D15" s="41"/>
      <c r="E15" s="41"/>
      <c r="F15" s="41"/>
      <c r="G15" s="41"/>
      <c r="H15" s="41"/>
      <c r="I15" s="161"/>
      <c r="J15" s="161"/>
    </row>
    <row r="16" spans="1:55" ht="12.5">
      <c r="A16" s="41"/>
      <c r="B16" s="41"/>
      <c r="C16" s="41"/>
      <c r="D16" s="41"/>
      <c r="E16" s="41"/>
      <c r="F16" s="41"/>
      <c r="G16" s="41"/>
      <c r="H16" s="41"/>
      <c r="I16" s="161"/>
      <c r="J16" s="161"/>
    </row>
    <row r="17" spans="1:10" ht="12.5">
      <c r="A17" s="41"/>
      <c r="B17" s="41"/>
      <c r="C17" s="41"/>
      <c r="D17" s="41"/>
      <c r="E17" s="41"/>
      <c r="F17" s="41"/>
      <c r="G17" s="41"/>
      <c r="H17" s="41"/>
      <c r="I17" s="161"/>
      <c r="J17" s="161"/>
    </row>
    <row r="18" spans="1:10" ht="12.5">
      <c r="A18" s="41"/>
      <c r="B18" s="41"/>
      <c r="C18" s="41"/>
      <c r="D18" s="41"/>
      <c r="E18" s="41"/>
      <c r="F18" s="41"/>
      <c r="G18" s="41"/>
      <c r="H18" s="41"/>
      <c r="I18" s="161"/>
      <c r="J18" s="161"/>
    </row>
    <row r="19" spans="1:10" ht="12.5">
      <c r="A19" s="41"/>
      <c r="B19" s="41"/>
      <c r="C19" s="41"/>
      <c r="D19" s="41"/>
      <c r="E19" s="41"/>
      <c r="F19" s="41"/>
      <c r="G19" s="41"/>
      <c r="H19" s="41"/>
      <c r="I19" s="161"/>
      <c r="J19" s="161"/>
    </row>
    <row r="20" spans="1:10" ht="12.5">
      <c r="A20" s="41"/>
      <c r="B20" s="41"/>
      <c r="C20" s="41"/>
      <c r="D20" s="41"/>
      <c r="E20" s="41"/>
      <c r="F20" s="41"/>
      <c r="G20" s="41"/>
      <c r="H20" s="41"/>
      <c r="I20" s="161"/>
      <c r="J20" s="161"/>
    </row>
    <row r="21" spans="1:10" ht="12.5">
      <c r="A21" s="41"/>
      <c r="B21" s="41"/>
      <c r="C21" s="41"/>
      <c r="D21" s="41"/>
      <c r="E21" s="41"/>
      <c r="F21" s="41"/>
      <c r="G21" s="41"/>
      <c r="H21" s="41"/>
      <c r="I21" s="161"/>
      <c r="J21" s="161"/>
    </row>
    <row r="22" spans="1:10" ht="12.5">
      <c r="A22" s="41"/>
      <c r="B22" s="41"/>
      <c r="C22" s="41"/>
      <c r="D22" s="41"/>
      <c r="E22" s="41"/>
      <c r="F22" s="41"/>
      <c r="G22" s="41"/>
      <c r="H22" s="41"/>
      <c r="I22" s="161"/>
      <c r="J22" s="161"/>
    </row>
    <row r="23" spans="1:10" ht="12.5">
      <c r="A23" s="41"/>
      <c r="B23" s="41"/>
      <c r="C23" s="41"/>
      <c r="D23" s="41"/>
      <c r="E23" s="41"/>
      <c r="F23" s="41"/>
      <c r="G23" s="41"/>
      <c r="H23" s="41"/>
      <c r="I23" s="161"/>
      <c r="J23" s="161"/>
    </row>
    <row r="24" spans="1:10" ht="12.5">
      <c r="A24" s="41"/>
      <c r="B24" s="41"/>
      <c r="C24" s="41"/>
      <c r="D24" s="41"/>
      <c r="E24" s="41"/>
      <c r="F24" s="41"/>
      <c r="G24" s="41"/>
      <c r="H24" s="41"/>
      <c r="I24" s="161"/>
      <c r="J24" s="161"/>
    </row>
    <row r="25" spans="1:10" ht="12.5">
      <c r="A25" s="41"/>
      <c r="B25" s="41"/>
      <c r="C25" s="41"/>
      <c r="D25" s="41"/>
      <c r="E25" s="41"/>
      <c r="F25" s="41"/>
      <c r="G25" s="41"/>
      <c r="H25" s="41"/>
      <c r="I25" s="161"/>
      <c r="J25" s="161"/>
    </row>
    <row r="26" spans="1:10" ht="12.5">
      <c r="A26" s="41"/>
      <c r="B26" s="41"/>
      <c r="C26" s="41"/>
      <c r="D26" s="41"/>
      <c r="E26" s="41"/>
      <c r="F26" s="41"/>
      <c r="G26" s="41"/>
      <c r="H26" s="41"/>
      <c r="I26" s="161"/>
      <c r="J26" s="161"/>
    </row>
    <row r="27" spans="1:10" ht="12.5">
      <c r="A27" s="41"/>
      <c r="B27" s="41"/>
      <c r="C27" s="41"/>
      <c r="D27" s="41"/>
      <c r="E27" s="41"/>
      <c r="F27" s="41"/>
      <c r="G27" s="41"/>
      <c r="H27" s="41"/>
      <c r="I27" s="161"/>
      <c r="J27" s="161"/>
    </row>
    <row r="28" spans="1:10" ht="12.5">
      <c r="A28" s="41"/>
      <c r="B28" s="41"/>
      <c r="C28" s="41"/>
      <c r="D28" s="41"/>
      <c r="E28" s="41"/>
      <c r="F28" s="41"/>
      <c r="G28" s="41"/>
      <c r="H28" s="41"/>
      <c r="I28" s="161"/>
      <c r="J28" s="161"/>
    </row>
    <row r="29" spans="1:10" ht="12.5">
      <c r="A29" s="41"/>
      <c r="B29" s="41"/>
      <c r="C29" s="41"/>
      <c r="D29" s="41"/>
      <c r="E29" s="41"/>
      <c r="F29" s="41"/>
      <c r="G29" s="41"/>
      <c r="H29" s="41"/>
      <c r="I29" s="161"/>
      <c r="J29" s="161"/>
    </row>
    <row r="30" spans="1:10" ht="12.5">
      <c r="A30" s="41"/>
      <c r="B30" s="41"/>
      <c r="C30" s="41"/>
      <c r="D30" s="41"/>
      <c r="E30" s="41"/>
      <c r="F30" s="41"/>
      <c r="G30" s="41"/>
      <c r="H30" s="41"/>
      <c r="I30" s="161"/>
      <c r="J30" s="161"/>
    </row>
    <row r="31" spans="1:10" ht="12.5">
      <c r="A31" s="41"/>
      <c r="B31" s="41"/>
      <c r="C31" s="41"/>
      <c r="D31" s="41"/>
      <c r="E31" s="41"/>
      <c r="F31" s="41"/>
      <c r="G31" s="41"/>
      <c r="H31" s="41"/>
      <c r="I31" s="161"/>
      <c r="J31" s="161"/>
    </row>
    <row r="32" spans="1:10" ht="12.5">
      <c r="A32" s="41"/>
      <c r="B32" s="41"/>
      <c r="C32" s="41"/>
      <c r="D32" s="41"/>
      <c r="E32" s="41"/>
      <c r="F32" s="41"/>
      <c r="G32" s="41"/>
      <c r="H32" s="41"/>
      <c r="I32" s="161"/>
      <c r="J32" s="161"/>
    </row>
    <row r="33" spans="1:10" ht="12.5">
      <c r="A33" s="41"/>
      <c r="B33" s="41"/>
      <c r="C33" s="41"/>
      <c r="D33" s="41"/>
      <c r="E33" s="41"/>
      <c r="F33" s="41"/>
      <c r="G33" s="41"/>
      <c r="H33" s="41"/>
      <c r="I33" s="161"/>
      <c r="J33" s="161"/>
    </row>
    <row r="34" spans="1:10" ht="12.5">
      <c r="A34" s="41"/>
      <c r="B34" s="41"/>
      <c r="C34" s="41"/>
      <c r="D34" s="41"/>
      <c r="E34" s="41"/>
      <c r="F34" s="41"/>
      <c r="G34" s="41"/>
      <c r="H34" s="41"/>
      <c r="I34" s="161"/>
      <c r="J34" s="161"/>
    </row>
    <row r="35" spans="1:10" ht="12.5">
      <c r="A35" s="41"/>
      <c r="B35" s="41"/>
      <c r="C35" s="41"/>
      <c r="D35" s="41"/>
      <c r="E35" s="41"/>
      <c r="F35" s="41"/>
      <c r="G35" s="41"/>
      <c r="H35" s="41"/>
      <c r="I35" s="161"/>
      <c r="J35" s="161"/>
    </row>
    <row r="36" spans="1:10" ht="12.5">
      <c r="A36" s="41"/>
      <c r="B36" s="41"/>
      <c r="C36" s="41"/>
      <c r="D36" s="41"/>
      <c r="E36" s="41"/>
      <c r="F36" s="41"/>
      <c r="G36" s="41"/>
      <c r="H36" s="41"/>
      <c r="I36" s="161"/>
      <c r="J36" s="161"/>
    </row>
    <row r="37" spans="1:10" ht="12.5">
      <c r="A37" s="41"/>
      <c r="B37" s="41"/>
      <c r="C37" s="41"/>
      <c r="D37" s="41"/>
      <c r="E37" s="41"/>
      <c r="F37" s="41"/>
      <c r="G37" s="41"/>
      <c r="H37" s="41"/>
      <c r="I37" s="161"/>
      <c r="J37" s="161"/>
    </row>
    <row r="38" spans="1:10" ht="12.5">
      <c r="A38" s="41"/>
      <c r="B38" s="41"/>
      <c r="C38" s="41"/>
      <c r="D38" s="41"/>
      <c r="E38" s="41"/>
      <c r="F38" s="41"/>
      <c r="G38" s="41"/>
      <c r="H38" s="41"/>
      <c r="I38" s="161"/>
      <c r="J38" s="161"/>
    </row>
    <row r="39" spans="1:10" ht="12.5">
      <c r="A39" s="41"/>
      <c r="B39" s="41"/>
      <c r="C39" s="41"/>
      <c r="D39" s="41"/>
      <c r="E39" s="41"/>
      <c r="F39" s="41"/>
      <c r="G39" s="41"/>
      <c r="H39" s="41"/>
      <c r="I39" s="161"/>
      <c r="J39" s="161"/>
    </row>
    <row r="40" spans="1:10" ht="12.5">
      <c r="A40" s="41"/>
      <c r="B40" s="41"/>
      <c r="C40" s="41"/>
      <c r="D40" s="41"/>
      <c r="E40" s="41"/>
      <c r="F40" s="41"/>
      <c r="G40" s="41"/>
      <c r="H40" s="41"/>
      <c r="I40" s="161"/>
      <c r="J40" s="161"/>
    </row>
    <row r="41" spans="1:10" ht="12.5">
      <c r="A41" s="41"/>
      <c r="B41" s="41"/>
      <c r="C41" s="41"/>
      <c r="D41" s="41"/>
      <c r="E41" s="41"/>
      <c r="F41" s="41"/>
      <c r="G41" s="41"/>
      <c r="H41" s="41"/>
      <c r="I41" s="161"/>
      <c r="J41" s="161"/>
    </row>
    <row r="42" spans="1:10" ht="12.5">
      <c r="A42" s="41"/>
      <c r="B42" s="41"/>
      <c r="C42" s="41"/>
      <c r="D42" s="41"/>
      <c r="E42" s="41"/>
      <c r="F42" s="41"/>
      <c r="G42" s="41"/>
      <c r="H42" s="41"/>
      <c r="I42" s="161"/>
      <c r="J42" s="161"/>
    </row>
    <row r="43" spans="1:10" ht="12.5">
      <c r="A43" s="41"/>
      <c r="B43" s="41"/>
      <c r="C43" s="41"/>
      <c r="D43" s="41"/>
      <c r="E43" s="41"/>
      <c r="F43" s="41"/>
      <c r="G43" s="41"/>
      <c r="H43" s="41"/>
      <c r="I43" s="161"/>
      <c r="J43" s="161"/>
    </row>
    <row r="44" spans="1:10" ht="12.5">
      <c r="A44" s="41"/>
      <c r="B44" s="41"/>
      <c r="C44" s="41"/>
      <c r="D44" s="41"/>
      <c r="E44" s="41"/>
      <c r="F44" s="41"/>
      <c r="G44" s="41"/>
      <c r="H44" s="41"/>
      <c r="I44" s="161"/>
      <c r="J44" s="161"/>
    </row>
    <row r="45" spans="1:10" ht="12.5">
      <c r="A45" s="41"/>
      <c r="B45" s="41"/>
      <c r="C45" s="41"/>
      <c r="D45" s="41"/>
      <c r="E45" s="41"/>
      <c r="F45" s="41"/>
      <c r="G45" s="41"/>
      <c r="H45" s="41"/>
      <c r="I45" s="161"/>
      <c r="J45" s="161"/>
    </row>
    <row r="46" spans="1:10" ht="12.5">
      <c r="A46" s="41"/>
      <c r="B46" s="41"/>
      <c r="C46" s="41"/>
      <c r="D46" s="41"/>
      <c r="E46" s="41"/>
      <c r="F46" s="41"/>
      <c r="G46" s="41"/>
      <c r="H46" s="41"/>
      <c r="I46" s="161"/>
      <c r="J46" s="161"/>
    </row>
    <row r="47" spans="1:10" ht="12.5">
      <c r="A47" s="41"/>
      <c r="B47" s="41"/>
      <c r="C47" s="41"/>
      <c r="D47" s="41"/>
      <c r="E47" s="41"/>
      <c r="F47" s="41"/>
      <c r="G47" s="41"/>
      <c r="H47" s="41"/>
      <c r="I47" s="161"/>
      <c r="J47" s="161"/>
    </row>
    <row r="48" spans="1:10" ht="12.5">
      <c r="A48" s="41"/>
      <c r="B48" s="41"/>
      <c r="C48" s="41"/>
      <c r="D48" s="41"/>
      <c r="E48" s="41"/>
      <c r="F48" s="41"/>
      <c r="G48" s="41"/>
      <c r="H48" s="41"/>
      <c r="I48" s="161"/>
      <c r="J48" s="161"/>
    </row>
    <row r="49" spans="1:10" ht="12.5">
      <c r="A49" s="41"/>
      <c r="B49" s="41"/>
      <c r="C49" s="41"/>
      <c r="D49" s="41"/>
      <c r="E49" s="41"/>
      <c r="F49" s="41"/>
      <c r="G49" s="41"/>
      <c r="H49" s="41"/>
      <c r="I49" s="161"/>
      <c r="J49" s="161"/>
    </row>
    <row r="50" spans="1:10" ht="12.5">
      <c r="A50" s="41"/>
      <c r="B50" s="41"/>
      <c r="C50" s="41"/>
      <c r="D50" s="41"/>
      <c r="E50" s="41"/>
      <c r="F50" s="41"/>
      <c r="G50" s="41"/>
      <c r="H50" s="41"/>
      <c r="I50" s="161"/>
      <c r="J50" s="161"/>
    </row>
    <row r="51" spans="1:10" ht="12.5">
      <c r="A51" s="41"/>
      <c r="B51" s="41"/>
      <c r="C51" s="41"/>
      <c r="D51" s="41"/>
      <c r="E51" s="41"/>
      <c r="F51" s="41"/>
      <c r="G51" s="41"/>
      <c r="H51" s="41"/>
      <c r="I51" s="161"/>
      <c r="J51" s="161"/>
    </row>
    <row r="52" spans="1:10" ht="12.5">
      <c r="A52" s="41"/>
      <c r="B52" s="41"/>
      <c r="C52" s="41"/>
      <c r="D52" s="41"/>
      <c r="E52" s="41"/>
      <c r="F52" s="41"/>
      <c r="G52" s="41"/>
      <c r="H52" s="41"/>
      <c r="I52" s="161"/>
      <c r="J52" s="161"/>
    </row>
    <row r="53" spans="1:10" ht="12.5">
      <c r="A53" s="41"/>
      <c r="B53" s="41"/>
      <c r="C53" s="41"/>
      <c r="D53" s="41"/>
      <c r="E53" s="41"/>
      <c r="F53" s="41"/>
      <c r="G53" s="41"/>
      <c r="H53" s="41"/>
      <c r="I53" s="161"/>
      <c r="J53" s="161"/>
    </row>
    <row r="54" spans="1:10" ht="12.5">
      <c r="A54" s="41"/>
      <c r="B54" s="41"/>
      <c r="C54" s="41"/>
      <c r="D54" s="41"/>
      <c r="E54" s="41"/>
      <c r="F54" s="41"/>
      <c r="G54" s="41"/>
      <c r="H54" s="41"/>
      <c r="I54" s="161"/>
      <c r="J54" s="161"/>
    </row>
    <row r="55" spans="1:10" ht="12.5">
      <c r="A55" s="41"/>
      <c r="B55" s="41"/>
      <c r="C55" s="41"/>
      <c r="D55" s="41"/>
      <c r="E55" s="41"/>
      <c r="F55" s="41"/>
      <c r="G55" s="41"/>
      <c r="H55" s="41"/>
      <c r="I55" s="161"/>
      <c r="J55" s="161"/>
    </row>
    <row r="56" spans="1:10" ht="12.5">
      <c r="A56" s="41"/>
      <c r="B56" s="41"/>
      <c r="C56" s="41"/>
      <c r="D56" s="41"/>
      <c r="E56" s="41"/>
      <c r="F56" s="41"/>
      <c r="G56" s="41"/>
      <c r="H56" s="41"/>
      <c r="I56" s="161"/>
      <c r="J56" s="161"/>
    </row>
    <row r="57" spans="1:10" ht="12.5">
      <c r="A57" s="41"/>
      <c r="B57" s="41"/>
      <c r="C57" s="41"/>
      <c r="D57" s="41"/>
      <c r="E57" s="41"/>
      <c r="F57" s="41"/>
      <c r="G57" s="41"/>
      <c r="H57" s="41"/>
      <c r="I57" s="161"/>
      <c r="J57" s="161"/>
    </row>
    <row r="58" spans="1:10" ht="12.5">
      <c r="A58" s="41"/>
      <c r="B58" s="41"/>
      <c r="C58" s="41"/>
      <c r="D58" s="41"/>
      <c r="E58" s="41"/>
      <c r="F58" s="41"/>
      <c r="G58" s="41"/>
      <c r="H58" s="41"/>
      <c r="I58" s="161"/>
      <c r="J58" s="161"/>
    </row>
    <row r="59" spans="1:10" ht="12.5">
      <c r="A59" s="41"/>
      <c r="B59" s="41"/>
      <c r="C59" s="41"/>
      <c r="D59" s="41"/>
      <c r="E59" s="41"/>
      <c r="F59" s="41"/>
      <c r="G59" s="41"/>
      <c r="H59" s="41"/>
      <c r="I59" s="161"/>
      <c r="J59" s="161"/>
    </row>
    <row r="60" spans="1:10" ht="12.5">
      <c r="A60" s="41"/>
      <c r="B60" s="41"/>
      <c r="C60" s="41"/>
      <c r="D60" s="41"/>
      <c r="E60" s="41"/>
      <c r="F60" s="41"/>
      <c r="G60" s="41"/>
      <c r="H60" s="41"/>
      <c r="I60" s="161"/>
      <c r="J60" s="161"/>
    </row>
    <row r="61" spans="1:10" ht="12.5">
      <c r="A61" s="41"/>
      <c r="B61" s="41"/>
      <c r="C61" s="41"/>
      <c r="D61" s="41"/>
      <c r="E61" s="41"/>
      <c r="F61" s="41"/>
      <c r="G61" s="41"/>
      <c r="H61" s="41"/>
      <c r="I61" s="161"/>
      <c r="J61" s="161"/>
    </row>
    <row r="62" spans="1:10" ht="12.5">
      <c r="A62" s="41"/>
      <c r="B62" s="41"/>
      <c r="C62" s="41"/>
      <c r="D62" s="41"/>
      <c r="E62" s="41"/>
      <c r="F62" s="41"/>
      <c r="G62" s="41"/>
      <c r="H62" s="41"/>
      <c r="I62" s="161"/>
      <c r="J62" s="161"/>
    </row>
    <row r="63" spans="1:10" ht="12.5">
      <c r="A63" s="41"/>
      <c r="B63" s="41"/>
      <c r="C63" s="41"/>
      <c r="D63" s="41"/>
      <c r="E63" s="41"/>
      <c r="F63" s="41"/>
      <c r="G63" s="41"/>
      <c r="H63" s="41"/>
      <c r="I63" s="161"/>
      <c r="J63" s="161"/>
    </row>
    <row r="64" spans="1:10" ht="12.5">
      <c r="A64" s="41"/>
      <c r="B64" s="41"/>
      <c r="C64" s="41"/>
      <c r="D64" s="41"/>
      <c r="E64" s="41"/>
      <c r="F64" s="41"/>
      <c r="G64" s="41"/>
      <c r="H64" s="41"/>
      <c r="I64" s="161"/>
      <c r="J64" s="161"/>
    </row>
    <row r="65" spans="1:10" ht="12.5">
      <c r="A65" s="41"/>
      <c r="B65" s="41"/>
      <c r="C65" s="41"/>
      <c r="D65" s="41"/>
      <c r="E65" s="41"/>
      <c r="F65" s="41"/>
      <c r="G65" s="41"/>
      <c r="H65" s="41"/>
      <c r="I65" s="161"/>
      <c r="J65" s="161"/>
    </row>
    <row r="66" spans="1:10" ht="12.5">
      <c r="A66" s="41"/>
      <c r="B66" s="41"/>
      <c r="C66" s="41"/>
      <c r="D66" s="41"/>
      <c r="E66" s="41"/>
      <c r="F66" s="41"/>
      <c r="G66" s="41"/>
      <c r="H66" s="41"/>
      <c r="I66" s="161"/>
      <c r="J66" s="161"/>
    </row>
    <row r="67" spans="1:10" ht="12.5">
      <c r="A67" s="41"/>
      <c r="B67" s="41"/>
      <c r="C67" s="41"/>
      <c r="D67" s="41"/>
      <c r="E67" s="41"/>
      <c r="F67" s="41"/>
      <c r="G67" s="41"/>
      <c r="H67" s="41"/>
      <c r="I67" s="161"/>
      <c r="J67" s="161"/>
    </row>
    <row r="68" spans="1:10" ht="12.5">
      <c r="A68" s="41"/>
      <c r="B68" s="41"/>
      <c r="C68" s="41"/>
      <c r="D68" s="41"/>
      <c r="E68" s="41"/>
      <c r="F68" s="41"/>
      <c r="G68" s="41"/>
      <c r="H68" s="41"/>
      <c r="I68" s="161"/>
      <c r="J68" s="161"/>
    </row>
    <row r="69" spans="1:10" ht="12.5">
      <c r="A69" s="41"/>
      <c r="B69" s="41"/>
      <c r="C69" s="41"/>
      <c r="D69" s="41"/>
      <c r="E69" s="41"/>
      <c r="F69" s="41"/>
      <c r="G69" s="41"/>
      <c r="H69" s="41"/>
      <c r="I69" s="161"/>
      <c r="J69" s="161"/>
    </row>
    <row r="70" spans="1:10" ht="12.5">
      <c r="A70" s="41"/>
      <c r="B70" s="41"/>
      <c r="C70" s="41"/>
      <c r="D70" s="41"/>
      <c r="E70" s="41"/>
      <c r="F70" s="41"/>
      <c r="G70" s="41"/>
      <c r="H70" s="41"/>
      <c r="I70" s="161"/>
      <c r="J70" s="161"/>
    </row>
    <row r="71" spans="1:10" ht="12.5">
      <c r="A71" s="41"/>
      <c r="B71" s="41"/>
      <c r="C71" s="41"/>
      <c r="D71" s="41"/>
      <c r="E71" s="41"/>
      <c r="F71" s="41"/>
      <c r="G71" s="41"/>
      <c r="H71" s="41"/>
      <c r="I71" s="161"/>
      <c r="J71" s="161"/>
    </row>
    <row r="72" spans="1:10" ht="12.5">
      <c r="A72" s="41"/>
      <c r="B72" s="41"/>
      <c r="C72" s="41"/>
      <c r="D72" s="41"/>
      <c r="E72" s="41"/>
      <c r="F72" s="41"/>
      <c r="G72" s="41"/>
      <c r="H72" s="41"/>
      <c r="I72" s="161"/>
      <c r="J72" s="161"/>
    </row>
    <row r="73" spans="1:10" ht="12.5">
      <c r="A73" s="41"/>
      <c r="B73" s="41"/>
      <c r="C73" s="41"/>
      <c r="D73" s="41"/>
      <c r="E73" s="41"/>
      <c r="F73" s="41"/>
      <c r="G73" s="41"/>
      <c r="H73" s="41"/>
      <c r="I73" s="161"/>
      <c r="J73" s="161"/>
    </row>
    <row r="74" spans="1:10" ht="12.5">
      <c r="A74" s="93"/>
      <c r="B74" s="93"/>
      <c r="C74" s="93"/>
      <c r="D74" s="83"/>
      <c r="E74" s="83"/>
      <c r="F74" s="83"/>
      <c r="G74" s="83"/>
      <c r="H74" s="83"/>
    </row>
    <row r="75" spans="1:10" ht="12.5">
      <c r="A75" s="93"/>
      <c r="B75" s="93"/>
      <c r="C75" s="93"/>
      <c r="D75" s="83"/>
      <c r="E75" s="83"/>
      <c r="F75" s="83"/>
      <c r="G75" s="83"/>
      <c r="H75" s="83"/>
    </row>
    <row r="76" spans="1:10" ht="12.5">
      <c r="A76" s="93"/>
      <c r="B76" s="93"/>
      <c r="C76" s="93"/>
      <c r="D76" s="83"/>
      <c r="E76" s="83"/>
      <c r="F76" s="83"/>
      <c r="G76" s="83"/>
      <c r="H76" s="83"/>
    </row>
    <row r="77" spans="1:10" ht="12.5">
      <c r="A77" s="93"/>
      <c r="B77" s="93"/>
      <c r="C77" s="93"/>
      <c r="D77" s="83"/>
      <c r="E77" s="83"/>
      <c r="F77" s="83"/>
      <c r="G77" s="83"/>
      <c r="H77" s="83"/>
    </row>
    <row r="78" spans="1:10" ht="12.5">
      <c r="A78" s="93"/>
      <c r="B78" s="93"/>
      <c r="C78" s="93"/>
      <c r="D78" s="83"/>
      <c r="E78" s="83"/>
      <c r="F78" s="83"/>
      <c r="G78" s="83"/>
      <c r="H78" s="83"/>
    </row>
    <row r="79" spans="1:10" ht="12.5">
      <c r="A79" s="93"/>
      <c r="B79" s="93"/>
      <c r="C79" s="93"/>
      <c r="D79" s="83"/>
      <c r="E79" s="83"/>
      <c r="F79" s="83"/>
      <c r="G79" s="83"/>
      <c r="H79" s="83"/>
    </row>
    <row r="80" spans="1:10" ht="12.5">
      <c r="A80" s="93"/>
      <c r="B80" s="93"/>
      <c r="C80" s="93"/>
      <c r="D80" s="83"/>
      <c r="E80" s="83"/>
      <c r="F80" s="83"/>
      <c r="G80" s="83"/>
      <c r="H80" s="83"/>
    </row>
    <row r="81" spans="1:8" ht="12.5">
      <c r="A81" s="93"/>
      <c r="B81" s="93"/>
      <c r="C81" s="93"/>
      <c r="D81" s="83"/>
      <c r="E81" s="83"/>
      <c r="F81" s="83"/>
      <c r="G81" s="83"/>
      <c r="H81" s="83"/>
    </row>
    <row r="82" spans="1:8" ht="12.5">
      <c r="A82" s="93"/>
      <c r="B82" s="93"/>
      <c r="C82" s="93"/>
      <c r="D82" s="83"/>
      <c r="E82" s="83"/>
      <c r="F82" s="83"/>
      <c r="G82" s="83"/>
      <c r="H82" s="83"/>
    </row>
    <row r="83" spans="1:8" ht="12.5">
      <c r="A83" s="93"/>
      <c r="B83" s="93"/>
      <c r="C83" s="93"/>
      <c r="D83" s="83"/>
      <c r="E83" s="83"/>
      <c r="F83" s="83"/>
      <c r="G83" s="83"/>
      <c r="H83" s="83"/>
    </row>
    <row r="84" spans="1:8" ht="12.5">
      <c r="A84" s="93"/>
      <c r="B84" s="93"/>
      <c r="C84" s="93"/>
      <c r="D84" s="83"/>
      <c r="E84" s="83"/>
      <c r="F84" s="83"/>
      <c r="G84" s="83"/>
      <c r="H84" s="83"/>
    </row>
    <row r="85" spans="1:8" ht="12.5">
      <c r="A85" s="93"/>
      <c r="B85" s="93"/>
      <c r="C85" s="93"/>
      <c r="D85" s="83"/>
      <c r="E85" s="83"/>
      <c r="F85" s="83"/>
      <c r="G85" s="83"/>
      <c r="H85" s="83"/>
    </row>
    <row r="86" spans="1:8" ht="12.5">
      <c r="A86" s="93"/>
      <c r="B86" s="93"/>
      <c r="C86" s="93"/>
      <c r="D86" s="83"/>
      <c r="E86" s="83"/>
      <c r="F86" s="83"/>
      <c r="G86" s="83"/>
      <c r="H86" s="83"/>
    </row>
    <row r="87" spans="1:8" ht="12.5">
      <c r="A87" s="93"/>
      <c r="B87" s="93"/>
      <c r="C87" s="93"/>
      <c r="D87" s="83"/>
      <c r="E87" s="83"/>
      <c r="F87" s="83"/>
      <c r="G87" s="83"/>
      <c r="H87" s="83"/>
    </row>
    <row r="88" spans="1:8" ht="12.5">
      <c r="A88" s="93"/>
      <c r="B88" s="93"/>
      <c r="C88" s="93"/>
      <c r="D88" s="83"/>
      <c r="E88" s="83"/>
      <c r="F88" s="83"/>
      <c r="G88" s="83"/>
      <c r="H88" s="83"/>
    </row>
    <row r="89" spans="1:8" ht="12.5">
      <c r="A89" s="93"/>
      <c r="B89" s="93"/>
      <c r="C89" s="93"/>
      <c r="D89" s="83"/>
      <c r="E89" s="83"/>
      <c r="F89" s="83"/>
      <c r="G89" s="83"/>
      <c r="H89" s="83"/>
    </row>
    <row r="90" spans="1:8" ht="12.5">
      <c r="A90" s="93"/>
      <c r="B90" s="93"/>
      <c r="C90" s="93"/>
      <c r="D90" s="83"/>
      <c r="E90" s="83"/>
      <c r="F90" s="83"/>
      <c r="G90" s="83"/>
      <c r="H90" s="83"/>
    </row>
    <row r="91" spans="1:8" ht="12.5">
      <c r="A91" s="93"/>
      <c r="B91" s="93"/>
      <c r="C91" s="93"/>
      <c r="D91" s="83"/>
      <c r="E91" s="83"/>
      <c r="F91" s="83"/>
      <c r="G91" s="83"/>
      <c r="H91" s="83"/>
    </row>
    <row r="92" spans="1:8" ht="12.5">
      <c r="A92" s="93"/>
      <c r="B92" s="93"/>
      <c r="C92" s="93"/>
      <c r="D92" s="83"/>
      <c r="E92" s="83"/>
      <c r="F92" s="83"/>
      <c r="G92" s="83"/>
      <c r="H92" s="83"/>
    </row>
    <row r="93" spans="1:8" ht="12.5">
      <c r="A93" s="93"/>
      <c r="B93" s="93"/>
      <c r="C93" s="93"/>
      <c r="D93" s="83"/>
      <c r="E93" s="83"/>
      <c r="F93" s="83"/>
      <c r="G93" s="83"/>
      <c r="H93" s="83"/>
    </row>
    <row r="94" spans="1:8" ht="12.5">
      <c r="A94" s="93"/>
      <c r="B94" s="93"/>
      <c r="C94" s="93"/>
      <c r="D94" s="83"/>
      <c r="E94" s="83"/>
      <c r="F94" s="83"/>
      <c r="G94" s="83"/>
      <c r="H94" s="83"/>
    </row>
    <row r="95" spans="1:8" ht="12.5">
      <c r="A95" s="93"/>
      <c r="B95" s="93"/>
      <c r="C95" s="93"/>
      <c r="D95" s="83"/>
      <c r="E95" s="83"/>
      <c r="F95" s="83"/>
      <c r="G95" s="83"/>
      <c r="H95" s="83"/>
    </row>
    <row r="96" spans="1:8" ht="12.5">
      <c r="A96" s="93"/>
      <c r="B96" s="93"/>
      <c r="C96" s="93"/>
      <c r="D96" s="83"/>
      <c r="E96" s="83"/>
      <c r="F96" s="83"/>
      <c r="G96" s="83"/>
      <c r="H96" s="83"/>
    </row>
    <row r="97" spans="1:8" ht="12.5">
      <c r="A97" s="93"/>
      <c r="B97" s="93"/>
      <c r="C97" s="93"/>
      <c r="D97" s="83"/>
      <c r="E97" s="83"/>
      <c r="F97" s="83"/>
      <c r="G97" s="83"/>
      <c r="H97" s="83"/>
    </row>
    <row r="98" spans="1:8" ht="12.5">
      <c r="A98" s="93"/>
      <c r="B98" s="93"/>
      <c r="C98" s="93"/>
      <c r="D98" s="83"/>
      <c r="E98" s="83"/>
      <c r="F98" s="83"/>
      <c r="G98" s="83"/>
      <c r="H98" s="83"/>
    </row>
    <row r="99" spans="1:8" ht="12.5">
      <c r="A99" s="93"/>
      <c r="B99" s="93"/>
      <c r="C99" s="93"/>
      <c r="D99" s="83"/>
      <c r="E99" s="83"/>
      <c r="F99" s="83"/>
      <c r="G99" s="83"/>
      <c r="H99" s="83"/>
    </row>
    <row r="100" spans="1:8" ht="12.5">
      <c r="A100" s="93"/>
      <c r="B100" s="93"/>
      <c r="C100" s="93"/>
      <c r="D100" s="83"/>
      <c r="E100" s="83"/>
      <c r="F100" s="83"/>
      <c r="G100" s="83"/>
      <c r="H100" s="83"/>
    </row>
    <row r="101" spans="1:8" ht="12.5">
      <c r="A101" s="93"/>
      <c r="B101" s="93"/>
      <c r="C101" s="93"/>
      <c r="D101" s="83"/>
      <c r="E101" s="83"/>
      <c r="F101" s="83"/>
      <c r="G101" s="83"/>
      <c r="H101" s="83"/>
    </row>
    <row r="102" spans="1:8" ht="12.5">
      <c r="A102" s="93"/>
      <c r="B102" s="93"/>
      <c r="C102" s="93"/>
      <c r="D102" s="83"/>
      <c r="E102" s="83"/>
      <c r="F102" s="83"/>
      <c r="G102" s="83"/>
      <c r="H102" s="83"/>
    </row>
    <row r="103" spans="1:8" ht="12.5">
      <c r="A103" s="93"/>
      <c r="B103" s="93"/>
      <c r="C103" s="93"/>
      <c r="D103" s="83"/>
      <c r="E103" s="83"/>
      <c r="F103" s="83"/>
      <c r="G103" s="83"/>
      <c r="H103" s="83"/>
    </row>
    <row r="104" spans="1:8" ht="12.5">
      <c r="A104" s="93"/>
      <c r="B104" s="93"/>
      <c r="C104" s="93"/>
      <c r="D104" s="83"/>
      <c r="E104" s="83"/>
      <c r="F104" s="83"/>
      <c r="G104" s="83"/>
      <c r="H104" s="83"/>
    </row>
    <row r="105" spans="1:8" ht="12.5">
      <c r="A105" s="93"/>
      <c r="B105" s="93"/>
      <c r="C105" s="93"/>
      <c r="D105" s="83"/>
      <c r="E105" s="83"/>
      <c r="F105" s="83"/>
      <c r="G105" s="83"/>
      <c r="H105" s="83"/>
    </row>
    <row r="106" spans="1:8" ht="12.5">
      <c r="A106" s="93"/>
      <c r="B106" s="93"/>
      <c r="C106" s="93"/>
      <c r="D106" s="83"/>
      <c r="E106" s="83"/>
      <c r="F106" s="83"/>
      <c r="G106" s="83"/>
      <c r="H106" s="83"/>
    </row>
    <row r="107" spans="1:8" ht="12.5">
      <c r="A107" s="93"/>
      <c r="B107" s="93"/>
      <c r="C107" s="93"/>
      <c r="D107" s="83"/>
      <c r="E107" s="83"/>
      <c r="F107" s="83"/>
      <c r="G107" s="83"/>
      <c r="H107" s="83"/>
    </row>
    <row r="108" spans="1:8" ht="12.5">
      <c r="A108" s="93"/>
      <c r="B108" s="93"/>
      <c r="C108" s="93"/>
      <c r="D108" s="83"/>
      <c r="E108" s="83"/>
      <c r="F108" s="83"/>
      <c r="G108" s="83"/>
      <c r="H108" s="83"/>
    </row>
    <row r="109" spans="1:8" ht="12.5">
      <c r="A109" s="93"/>
      <c r="B109" s="93"/>
      <c r="C109" s="93"/>
      <c r="D109" s="83"/>
      <c r="E109" s="83"/>
      <c r="F109" s="83"/>
      <c r="G109" s="83"/>
      <c r="H109" s="83"/>
    </row>
    <row r="110" spans="1:8" ht="12.5">
      <c r="A110" s="93"/>
      <c r="B110" s="93"/>
      <c r="C110" s="93"/>
      <c r="D110" s="83"/>
      <c r="E110" s="83"/>
      <c r="F110" s="83"/>
      <c r="G110" s="83"/>
      <c r="H110" s="83"/>
    </row>
    <row r="111" spans="1:8" ht="12.5">
      <c r="A111" s="93"/>
      <c r="B111" s="93"/>
      <c r="C111" s="93"/>
      <c r="D111" s="83"/>
      <c r="E111" s="83"/>
      <c r="F111" s="83"/>
      <c r="G111" s="83"/>
      <c r="H111" s="83"/>
    </row>
    <row r="112" spans="1:8" ht="12.5">
      <c r="A112" s="93"/>
      <c r="B112" s="93"/>
      <c r="C112" s="93"/>
      <c r="D112" s="83"/>
      <c r="E112" s="83"/>
      <c r="F112" s="83"/>
      <c r="G112" s="83"/>
      <c r="H112" s="83"/>
    </row>
    <row r="113" spans="1:8" ht="12.5">
      <c r="A113" s="93"/>
      <c r="B113" s="93"/>
      <c r="C113" s="93"/>
      <c r="D113" s="83"/>
      <c r="E113" s="83"/>
      <c r="F113" s="83"/>
      <c r="G113" s="83"/>
      <c r="H113" s="83"/>
    </row>
    <row r="114" spans="1:8" ht="12.5">
      <c r="A114" s="93"/>
      <c r="B114" s="93"/>
      <c r="C114" s="93"/>
      <c r="D114" s="83"/>
      <c r="E114" s="83"/>
      <c r="F114" s="83"/>
      <c r="G114" s="83"/>
      <c r="H114" s="83"/>
    </row>
    <row r="115" spans="1:8" ht="12.5">
      <c r="A115" s="93"/>
      <c r="B115" s="93"/>
      <c r="C115" s="93"/>
      <c r="D115" s="83"/>
      <c r="E115" s="83"/>
      <c r="F115" s="83"/>
      <c r="G115" s="83"/>
      <c r="H115" s="83"/>
    </row>
    <row r="116" spans="1:8" ht="12.5">
      <c r="A116" s="93"/>
      <c r="B116" s="93"/>
      <c r="C116" s="93"/>
      <c r="D116" s="83"/>
      <c r="E116" s="83"/>
      <c r="F116" s="83"/>
      <c r="G116" s="83"/>
      <c r="H116" s="83"/>
    </row>
    <row r="117" spans="1:8" ht="12.5">
      <c r="A117" s="93"/>
      <c r="B117" s="93"/>
      <c r="C117" s="93"/>
      <c r="D117" s="83"/>
      <c r="E117" s="83"/>
      <c r="F117" s="83"/>
      <c r="G117" s="83"/>
      <c r="H117" s="83"/>
    </row>
    <row r="118" spans="1:8" ht="12.5">
      <c r="A118" s="93"/>
      <c r="B118" s="93"/>
      <c r="C118" s="93"/>
      <c r="D118" s="83"/>
      <c r="E118" s="83"/>
      <c r="F118" s="83"/>
      <c r="G118" s="83"/>
      <c r="H118" s="83"/>
    </row>
    <row r="119" spans="1:8" ht="12.5">
      <c r="A119" s="93"/>
      <c r="B119" s="93"/>
      <c r="C119" s="93"/>
      <c r="D119" s="83"/>
      <c r="E119" s="83"/>
      <c r="F119" s="83"/>
      <c r="G119" s="83"/>
      <c r="H119" s="83"/>
    </row>
    <row r="120" spans="1:8" ht="12.5">
      <c r="A120" s="93"/>
      <c r="B120" s="93"/>
      <c r="C120" s="93"/>
      <c r="D120" s="83"/>
      <c r="E120" s="83"/>
      <c r="F120" s="83"/>
      <c r="G120" s="83"/>
      <c r="H120" s="83"/>
    </row>
    <row r="121" spans="1:8" ht="12.5">
      <c r="A121" s="93"/>
      <c r="B121" s="93"/>
      <c r="C121" s="93"/>
      <c r="D121" s="83"/>
      <c r="E121" s="83"/>
      <c r="F121" s="83"/>
      <c r="G121" s="83"/>
      <c r="H121" s="83"/>
    </row>
    <row r="122" spans="1:8" ht="12.5">
      <c r="A122" s="93"/>
      <c r="B122" s="93"/>
      <c r="C122" s="93"/>
      <c r="D122" s="83"/>
      <c r="E122" s="83"/>
      <c r="F122" s="83"/>
      <c r="G122" s="83"/>
      <c r="H122" s="83"/>
    </row>
    <row r="123" spans="1:8" ht="12.5">
      <c r="A123" s="93"/>
      <c r="B123" s="93"/>
      <c r="C123" s="93"/>
      <c r="D123" s="83"/>
      <c r="E123" s="83"/>
      <c r="F123" s="83"/>
      <c r="G123" s="83"/>
      <c r="H123" s="83"/>
    </row>
    <row r="124" spans="1:8" ht="12.5">
      <c r="A124" s="93"/>
      <c r="B124" s="93"/>
      <c r="C124" s="93"/>
      <c r="D124" s="83"/>
      <c r="E124" s="83"/>
      <c r="F124" s="83"/>
      <c r="G124" s="83"/>
      <c r="H124" s="83"/>
    </row>
    <row r="125" spans="1:8" ht="12.5">
      <c r="A125" s="93"/>
      <c r="B125" s="93"/>
      <c r="C125" s="93"/>
      <c r="D125" s="83"/>
      <c r="E125" s="83"/>
      <c r="F125" s="83"/>
      <c r="G125" s="83"/>
      <c r="H125" s="83"/>
    </row>
    <row r="126" spans="1:8" ht="12.5">
      <c r="A126" s="93"/>
      <c r="B126" s="93"/>
      <c r="C126" s="93"/>
      <c r="D126" s="83"/>
      <c r="E126" s="83"/>
      <c r="F126" s="83"/>
      <c r="G126" s="83"/>
      <c r="H126" s="83"/>
    </row>
    <row r="127" spans="1:8" ht="12.5">
      <c r="A127" s="93"/>
      <c r="B127" s="93"/>
      <c r="C127" s="93"/>
      <c r="D127" s="83"/>
      <c r="E127" s="83"/>
      <c r="F127" s="83"/>
      <c r="G127" s="83"/>
      <c r="H127" s="83"/>
    </row>
    <row r="128" spans="1:8" ht="12.5">
      <c r="A128" s="93"/>
      <c r="B128" s="93"/>
      <c r="C128" s="93"/>
      <c r="D128" s="83"/>
      <c r="E128" s="83"/>
      <c r="F128" s="83"/>
      <c r="G128" s="83"/>
      <c r="H128" s="83"/>
    </row>
    <row r="129" spans="1:8" ht="12.5">
      <c r="A129" s="93"/>
      <c r="B129" s="93"/>
      <c r="C129" s="93"/>
      <c r="D129" s="83"/>
      <c r="E129" s="83"/>
      <c r="F129" s="83"/>
      <c r="G129" s="83"/>
      <c r="H129" s="83"/>
    </row>
    <row r="130" spans="1:8" ht="12.5">
      <c r="A130" s="93"/>
      <c r="B130" s="93"/>
      <c r="C130" s="93"/>
      <c r="D130" s="83"/>
      <c r="E130" s="83"/>
      <c r="F130" s="83"/>
      <c r="G130" s="83"/>
      <c r="H130" s="83"/>
    </row>
    <row r="131" spans="1:8" ht="12.5">
      <c r="A131" s="93"/>
      <c r="B131" s="93"/>
      <c r="C131" s="93"/>
      <c r="D131" s="83"/>
      <c r="E131" s="83"/>
      <c r="F131" s="83"/>
      <c r="G131" s="83"/>
      <c r="H131" s="83"/>
    </row>
    <row r="132" spans="1:8" ht="12.5">
      <c r="A132" s="93"/>
      <c r="B132" s="93"/>
      <c r="C132" s="93"/>
      <c r="D132" s="83"/>
      <c r="E132" s="83"/>
      <c r="F132" s="83"/>
      <c r="G132" s="83"/>
      <c r="H132" s="83"/>
    </row>
    <row r="133" spans="1:8" ht="12.5">
      <c r="A133" s="93"/>
      <c r="B133" s="93"/>
      <c r="C133" s="93"/>
      <c r="D133" s="83"/>
      <c r="E133" s="83"/>
      <c r="F133" s="83"/>
      <c r="G133" s="83"/>
      <c r="H133" s="83"/>
    </row>
    <row r="134" spans="1:8" ht="12.5">
      <c r="A134" s="93"/>
      <c r="B134" s="93"/>
      <c r="C134" s="93"/>
      <c r="D134" s="83"/>
      <c r="E134" s="83"/>
      <c r="F134" s="83"/>
      <c r="G134" s="83"/>
      <c r="H134" s="83"/>
    </row>
    <row r="135" spans="1:8" ht="12.5">
      <c r="A135" s="93"/>
      <c r="B135" s="93"/>
      <c r="C135" s="93"/>
      <c r="D135" s="83"/>
      <c r="E135" s="83"/>
      <c r="F135" s="83"/>
      <c r="G135" s="83"/>
      <c r="H135" s="83"/>
    </row>
    <row r="136" spans="1:8" ht="12.5">
      <c r="A136" s="93"/>
      <c r="B136" s="93"/>
      <c r="C136" s="93"/>
      <c r="D136" s="83"/>
      <c r="E136" s="83"/>
      <c r="F136" s="83"/>
      <c r="G136" s="83"/>
      <c r="H136" s="83"/>
    </row>
    <row r="137" spans="1:8" ht="12.5">
      <c r="A137" s="93"/>
      <c r="B137" s="93"/>
      <c r="C137" s="93"/>
      <c r="D137" s="83"/>
      <c r="E137" s="83"/>
      <c r="F137" s="83"/>
      <c r="G137" s="83"/>
      <c r="H137" s="83"/>
    </row>
    <row r="138" spans="1:8" ht="12.5">
      <c r="A138" s="93"/>
      <c r="B138" s="93"/>
      <c r="C138" s="93"/>
      <c r="D138" s="83"/>
      <c r="E138" s="83"/>
      <c r="F138" s="83"/>
      <c r="G138" s="83"/>
      <c r="H138" s="83"/>
    </row>
    <row r="139" spans="1:8" ht="12.5">
      <c r="A139" s="83"/>
      <c r="B139" s="83"/>
      <c r="C139" s="83"/>
      <c r="D139" s="83"/>
      <c r="E139" s="83"/>
      <c r="F139" s="83"/>
      <c r="G139" s="83"/>
      <c r="H139" s="83"/>
    </row>
    <row r="140" spans="1:8" ht="12.5">
      <c r="A140" s="83"/>
      <c r="B140" s="83"/>
      <c r="C140" s="83"/>
      <c r="D140" s="83"/>
      <c r="E140" s="83"/>
      <c r="F140" s="83"/>
      <c r="G140" s="83"/>
      <c r="H140" s="83"/>
    </row>
    <row r="141" spans="1:8" ht="12.5">
      <c r="A141" s="83"/>
      <c r="B141" s="83"/>
      <c r="C141" s="83"/>
      <c r="D141" s="83"/>
      <c r="E141" s="83"/>
      <c r="F141" s="83"/>
      <c r="G141" s="83"/>
      <c r="H141" s="83"/>
    </row>
    <row r="142" spans="1:8" ht="12.5">
      <c r="A142" s="83"/>
      <c r="B142" s="83"/>
      <c r="C142" s="83"/>
      <c r="D142" s="83"/>
      <c r="E142" s="83"/>
      <c r="F142" s="83"/>
      <c r="G142" s="83"/>
      <c r="H142" s="83"/>
    </row>
    <row r="143" spans="1:8" ht="12.5">
      <c r="A143" s="83"/>
      <c r="B143" s="83"/>
      <c r="C143" s="83"/>
      <c r="D143" s="83"/>
      <c r="E143" s="83"/>
      <c r="F143" s="83"/>
      <c r="G143" s="83"/>
      <c r="H143" s="83"/>
    </row>
    <row r="144" spans="1:8" ht="12.5">
      <c r="A144" s="83"/>
      <c r="B144" s="83"/>
      <c r="C144" s="83"/>
      <c r="D144" s="83"/>
      <c r="E144" s="83"/>
      <c r="F144" s="83"/>
      <c r="G144" s="83"/>
      <c r="H144" s="83"/>
    </row>
    <row r="145" spans="1:8" ht="12.5">
      <c r="A145" s="83"/>
      <c r="B145" s="83"/>
      <c r="C145" s="83"/>
      <c r="D145" s="83"/>
      <c r="E145" s="83"/>
      <c r="F145" s="83"/>
      <c r="G145" s="83"/>
      <c r="H145" s="83"/>
    </row>
    <row r="146" spans="1:8" ht="12.5">
      <c r="A146" s="83"/>
      <c r="B146" s="83"/>
      <c r="C146" s="83"/>
      <c r="D146" s="83"/>
      <c r="E146" s="83"/>
      <c r="F146" s="83"/>
      <c r="G146" s="83"/>
      <c r="H146" s="83"/>
    </row>
    <row r="147" spans="1:8" ht="12.5">
      <c r="A147" s="83"/>
      <c r="B147" s="83"/>
      <c r="C147" s="83"/>
      <c r="D147" s="83"/>
      <c r="E147" s="83"/>
      <c r="F147" s="83"/>
      <c r="G147" s="83"/>
      <c r="H147" s="83"/>
    </row>
    <row r="148" spans="1:8" ht="12.5">
      <c r="A148" s="83"/>
      <c r="B148" s="83"/>
      <c r="C148" s="83"/>
      <c r="D148" s="83"/>
      <c r="E148" s="83"/>
      <c r="F148" s="83"/>
      <c r="G148" s="83"/>
      <c r="H148" s="83"/>
    </row>
    <row r="149" spans="1:8" ht="12.5">
      <c r="A149" s="83"/>
      <c r="B149" s="83"/>
      <c r="C149" s="83"/>
      <c r="D149" s="83"/>
      <c r="E149" s="83"/>
      <c r="F149" s="83"/>
      <c r="G149" s="83"/>
      <c r="H149" s="83"/>
    </row>
    <row r="150" spans="1:8" ht="12.5">
      <c r="A150" s="83"/>
      <c r="B150" s="83"/>
      <c r="C150" s="83"/>
      <c r="D150" s="83"/>
      <c r="E150" s="83"/>
      <c r="F150" s="83"/>
      <c r="G150" s="83"/>
      <c r="H150" s="83"/>
    </row>
    <row r="151" spans="1:8" ht="12.5">
      <c r="A151" s="83"/>
      <c r="B151" s="83"/>
      <c r="C151" s="83"/>
      <c r="D151" s="83"/>
      <c r="E151" s="83"/>
      <c r="F151" s="83"/>
      <c r="G151" s="83"/>
      <c r="H151" s="83"/>
    </row>
    <row r="152" spans="1:8" ht="12.5">
      <c r="A152" s="83"/>
      <c r="B152" s="83"/>
      <c r="C152" s="83"/>
      <c r="D152" s="83"/>
      <c r="E152" s="83"/>
      <c r="F152" s="83"/>
      <c r="G152" s="83"/>
      <c r="H152" s="83"/>
    </row>
    <row r="153" spans="1:8" ht="12.5">
      <c r="A153" s="83"/>
      <c r="B153" s="83"/>
      <c r="C153" s="83"/>
      <c r="D153" s="83"/>
      <c r="E153" s="83"/>
      <c r="F153" s="83"/>
      <c r="G153" s="83"/>
      <c r="H153" s="83"/>
    </row>
    <row r="154" spans="1:8" ht="12.5">
      <c r="A154" s="83"/>
      <c r="B154" s="83"/>
      <c r="C154" s="83"/>
      <c r="D154" s="83"/>
      <c r="E154" s="83"/>
      <c r="F154" s="83"/>
      <c r="G154" s="83"/>
      <c r="H154" s="83"/>
    </row>
    <row r="155" spans="1:8" ht="12.5">
      <c r="A155" s="83"/>
      <c r="B155" s="83"/>
      <c r="C155" s="83"/>
      <c r="D155" s="83"/>
      <c r="E155" s="83"/>
      <c r="F155" s="83"/>
      <c r="G155" s="83"/>
      <c r="H155" s="83"/>
    </row>
    <row r="156" spans="1:8" ht="12.5">
      <c r="A156" s="83"/>
      <c r="B156" s="83"/>
      <c r="C156" s="83"/>
      <c r="D156" s="83"/>
      <c r="E156" s="83"/>
      <c r="F156" s="83"/>
      <c r="G156" s="83"/>
      <c r="H156" s="83"/>
    </row>
    <row r="157" spans="1:8" ht="12.5">
      <c r="A157" s="83"/>
      <c r="B157" s="83"/>
      <c r="C157" s="83"/>
      <c r="D157" s="83"/>
      <c r="E157" s="83"/>
      <c r="F157" s="83"/>
      <c r="G157" s="83"/>
      <c r="H157" s="83"/>
    </row>
    <row r="158" spans="1:8" ht="12.5">
      <c r="A158" s="83"/>
      <c r="B158" s="83"/>
      <c r="C158" s="83"/>
      <c r="D158" s="83"/>
      <c r="E158" s="83"/>
      <c r="F158" s="83"/>
      <c r="G158" s="83"/>
      <c r="H158" s="83"/>
    </row>
    <row r="159" spans="1:8" ht="12.5">
      <c r="A159" s="83"/>
      <c r="B159" s="83"/>
      <c r="C159" s="83"/>
      <c r="D159" s="83"/>
      <c r="E159" s="83"/>
      <c r="F159" s="83"/>
      <c r="G159" s="83"/>
      <c r="H159" s="83"/>
    </row>
    <row r="160" spans="1:8" ht="12.5">
      <c r="A160" s="83"/>
      <c r="B160" s="83"/>
      <c r="C160" s="83"/>
      <c r="D160" s="83"/>
      <c r="E160" s="83"/>
      <c r="F160" s="83"/>
      <c r="G160" s="83"/>
      <c r="H160" s="83"/>
    </row>
    <row r="161" spans="1:8" ht="12.5">
      <c r="A161" s="83"/>
      <c r="B161" s="83"/>
      <c r="C161" s="83"/>
      <c r="D161" s="83"/>
      <c r="E161" s="83"/>
      <c r="F161" s="83"/>
      <c r="G161" s="83"/>
      <c r="H161" s="83"/>
    </row>
    <row r="162" spans="1:8" ht="12.5">
      <c r="A162" s="83"/>
      <c r="B162" s="83"/>
      <c r="C162" s="83"/>
      <c r="D162" s="83"/>
      <c r="E162" s="83"/>
      <c r="F162" s="83"/>
      <c r="G162" s="83"/>
      <c r="H162" s="83"/>
    </row>
    <row r="163" spans="1:8" ht="12.5">
      <c r="A163" s="83"/>
      <c r="B163" s="83"/>
      <c r="C163" s="83"/>
      <c r="D163" s="83"/>
      <c r="E163" s="83"/>
      <c r="F163" s="83"/>
      <c r="G163" s="83"/>
      <c r="H163" s="83"/>
    </row>
    <row r="164" spans="1:8" ht="12.5">
      <c r="A164" s="83"/>
      <c r="B164" s="83"/>
      <c r="C164" s="83"/>
      <c r="D164" s="83"/>
      <c r="E164" s="83"/>
      <c r="F164" s="83"/>
      <c r="G164" s="83"/>
      <c r="H164" s="83"/>
    </row>
    <row r="165" spans="1:8" ht="12.5">
      <c r="A165" s="83"/>
      <c r="B165" s="83"/>
      <c r="C165" s="83"/>
      <c r="D165" s="83"/>
      <c r="E165" s="83"/>
      <c r="F165" s="83"/>
      <c r="G165" s="83"/>
      <c r="H165" s="83"/>
    </row>
    <row r="166" spans="1:8" ht="12.5">
      <c r="A166" s="83"/>
      <c r="B166" s="83"/>
      <c r="C166" s="83"/>
      <c r="D166" s="83"/>
      <c r="E166" s="83"/>
      <c r="F166" s="83"/>
      <c r="G166" s="83"/>
      <c r="H166" s="83"/>
    </row>
    <row r="167" spans="1:8" ht="12.5">
      <c r="A167" s="83"/>
      <c r="B167" s="83"/>
      <c r="C167" s="83"/>
      <c r="D167" s="83"/>
      <c r="E167" s="83"/>
      <c r="F167" s="83"/>
      <c r="G167" s="83"/>
      <c r="H167" s="83"/>
    </row>
    <row r="168" spans="1:8" ht="12.5">
      <c r="A168" s="83"/>
      <c r="B168" s="83"/>
      <c r="C168" s="83"/>
      <c r="D168" s="83"/>
      <c r="E168" s="83"/>
      <c r="F168" s="83"/>
      <c r="G168" s="83"/>
      <c r="H168" s="83"/>
    </row>
    <row r="169" spans="1:8" ht="12.5">
      <c r="A169" s="83"/>
      <c r="B169" s="83"/>
      <c r="C169" s="83"/>
      <c r="D169" s="83"/>
      <c r="E169" s="83"/>
      <c r="F169" s="83"/>
      <c r="G169" s="83"/>
      <c r="H169" s="83"/>
    </row>
    <row r="170" spans="1:8" ht="12.5">
      <c r="A170" s="83"/>
      <c r="B170" s="83"/>
      <c r="C170" s="83"/>
      <c r="D170" s="83"/>
      <c r="E170" s="83"/>
      <c r="F170" s="83"/>
      <c r="G170" s="83"/>
      <c r="H170" s="83"/>
    </row>
    <row r="171" spans="1:8" ht="12.5">
      <c r="A171" s="83"/>
      <c r="B171" s="83"/>
      <c r="C171" s="83"/>
      <c r="D171" s="83"/>
      <c r="E171" s="83"/>
      <c r="F171" s="83"/>
      <c r="G171" s="83"/>
      <c r="H171" s="83"/>
    </row>
    <row r="172" spans="1:8" ht="12.5">
      <c r="A172" s="83"/>
      <c r="B172" s="83"/>
      <c r="C172" s="83"/>
      <c r="D172" s="83"/>
      <c r="E172" s="83"/>
      <c r="F172" s="83"/>
      <c r="G172" s="83"/>
      <c r="H172" s="83"/>
    </row>
    <row r="173" spans="1:8" ht="12.5">
      <c r="A173" s="83"/>
      <c r="B173" s="83"/>
      <c r="C173" s="83"/>
      <c r="D173" s="83"/>
      <c r="E173" s="83"/>
      <c r="F173" s="83"/>
      <c r="G173" s="83"/>
      <c r="H173" s="83"/>
    </row>
    <row r="174" spans="1:8" ht="12.5">
      <c r="A174" s="83"/>
      <c r="B174" s="83"/>
      <c r="C174" s="83"/>
      <c r="D174" s="83"/>
      <c r="E174" s="83"/>
      <c r="F174" s="83"/>
      <c r="G174" s="83"/>
      <c r="H174" s="83"/>
    </row>
    <row r="175" spans="1:8" ht="12.5">
      <c r="A175" s="83"/>
      <c r="B175" s="83"/>
      <c r="C175" s="83"/>
      <c r="D175" s="83"/>
      <c r="E175" s="83"/>
      <c r="F175" s="83"/>
      <c r="G175" s="83"/>
      <c r="H175" s="83"/>
    </row>
    <row r="176" spans="1:8" ht="12.5">
      <c r="A176" s="83"/>
      <c r="B176" s="83"/>
      <c r="C176" s="83"/>
      <c r="D176" s="83"/>
      <c r="E176" s="83"/>
      <c r="F176" s="83"/>
      <c r="G176" s="83"/>
      <c r="H176" s="83"/>
    </row>
    <row r="177" spans="1:8" ht="12.5">
      <c r="A177" s="83"/>
      <c r="B177" s="83"/>
      <c r="C177" s="83"/>
      <c r="D177" s="83"/>
      <c r="E177" s="83"/>
      <c r="F177" s="83"/>
      <c r="G177" s="83"/>
      <c r="H177" s="83"/>
    </row>
    <row r="178" spans="1:8" ht="12.5">
      <c r="A178" s="83"/>
      <c r="B178" s="83"/>
      <c r="C178" s="83"/>
      <c r="D178" s="83"/>
      <c r="E178" s="83"/>
      <c r="F178" s="83"/>
      <c r="G178" s="83"/>
      <c r="H178" s="83"/>
    </row>
    <row r="179" spans="1:8" ht="12.5">
      <c r="A179" s="83"/>
      <c r="B179" s="83"/>
      <c r="C179" s="83"/>
      <c r="D179" s="83"/>
      <c r="E179" s="83"/>
      <c r="F179" s="83"/>
      <c r="G179" s="83"/>
      <c r="H179" s="83"/>
    </row>
    <row r="180" spans="1:8" ht="12.5">
      <c r="A180" s="83"/>
      <c r="B180" s="83"/>
      <c r="C180" s="83"/>
      <c r="D180" s="83"/>
      <c r="E180" s="83"/>
      <c r="F180" s="83"/>
      <c r="G180" s="83"/>
      <c r="H180" s="83"/>
    </row>
    <row r="181" spans="1:8" ht="12.5">
      <c r="A181" s="83"/>
      <c r="B181" s="83"/>
      <c r="C181" s="83"/>
      <c r="D181" s="83"/>
      <c r="E181" s="83"/>
      <c r="F181" s="83"/>
      <c r="G181" s="83"/>
      <c r="H181" s="83"/>
    </row>
    <row r="182" spans="1:8" ht="12.5">
      <c r="A182" s="83"/>
      <c r="B182" s="83"/>
      <c r="C182" s="83"/>
      <c r="D182" s="83"/>
      <c r="E182" s="83"/>
      <c r="F182" s="83"/>
      <c r="G182" s="83"/>
      <c r="H182" s="83"/>
    </row>
    <row r="183" spans="1:8" ht="12.5">
      <c r="A183" s="83"/>
      <c r="B183" s="83"/>
      <c r="C183" s="83"/>
      <c r="D183" s="83"/>
      <c r="E183" s="83"/>
      <c r="F183" s="83"/>
      <c r="G183" s="83"/>
      <c r="H183" s="83"/>
    </row>
    <row r="184" spans="1:8" ht="12.5">
      <c r="A184" s="83"/>
      <c r="B184" s="83"/>
      <c r="C184" s="83"/>
      <c r="D184" s="83"/>
      <c r="E184" s="83"/>
      <c r="F184" s="83"/>
      <c r="G184" s="83"/>
      <c r="H184" s="83"/>
    </row>
    <row r="185" spans="1:8" ht="12.5">
      <c r="A185" s="83"/>
      <c r="B185" s="83"/>
      <c r="C185" s="83"/>
      <c r="D185" s="83"/>
      <c r="E185" s="83"/>
      <c r="F185" s="83"/>
      <c r="G185" s="83"/>
      <c r="H185" s="83"/>
    </row>
    <row r="186" spans="1:8" ht="12.5">
      <c r="A186" s="83"/>
      <c r="B186" s="83"/>
      <c r="C186" s="83"/>
      <c r="D186" s="83"/>
      <c r="E186" s="83"/>
      <c r="F186" s="83"/>
      <c r="G186" s="83"/>
      <c r="H186" s="83"/>
    </row>
    <row r="187" spans="1:8" ht="12.5">
      <c r="A187" s="83"/>
      <c r="B187" s="83"/>
      <c r="C187" s="83"/>
      <c r="D187" s="83"/>
      <c r="E187" s="83"/>
      <c r="F187" s="83"/>
      <c r="G187" s="83"/>
      <c r="H187" s="83"/>
    </row>
    <row r="188" spans="1:8" ht="12.5">
      <c r="A188" s="83"/>
      <c r="B188" s="83"/>
      <c r="C188" s="83"/>
      <c r="D188" s="83"/>
      <c r="E188" s="83"/>
      <c r="F188" s="83"/>
      <c r="G188" s="83"/>
      <c r="H188" s="83"/>
    </row>
    <row r="189" spans="1:8" ht="12.5">
      <c r="A189" s="83"/>
      <c r="B189" s="83"/>
      <c r="C189" s="83"/>
      <c r="D189" s="83"/>
      <c r="E189" s="83"/>
      <c r="F189" s="83"/>
      <c r="G189" s="83"/>
      <c r="H189" s="83"/>
    </row>
    <row r="190" spans="1:8" ht="12.5">
      <c r="A190" s="83"/>
      <c r="B190" s="83"/>
      <c r="C190" s="83"/>
      <c r="D190" s="83"/>
      <c r="E190" s="83"/>
      <c r="F190" s="83"/>
      <c r="G190" s="83"/>
      <c r="H190" s="83"/>
    </row>
    <row r="191" spans="1:8" ht="12.5">
      <c r="A191" s="83"/>
      <c r="B191" s="83"/>
      <c r="C191" s="83"/>
      <c r="D191" s="83"/>
      <c r="E191" s="83"/>
      <c r="F191" s="83"/>
      <c r="G191" s="83"/>
      <c r="H191" s="83"/>
    </row>
    <row r="192" spans="1:8" ht="12.5">
      <c r="A192" s="83"/>
      <c r="B192" s="83"/>
      <c r="C192" s="83"/>
      <c r="D192" s="83"/>
      <c r="E192" s="83"/>
      <c r="F192" s="83"/>
      <c r="G192" s="83"/>
      <c r="H192" s="83"/>
    </row>
    <row r="193" spans="1:8" ht="12.5">
      <c r="A193" s="83"/>
      <c r="B193" s="83"/>
      <c r="C193" s="83"/>
      <c r="D193" s="83"/>
      <c r="E193" s="83"/>
      <c r="F193" s="83"/>
      <c r="G193" s="83"/>
      <c r="H193" s="83"/>
    </row>
    <row r="194" spans="1:8" ht="12.5">
      <c r="A194" s="83"/>
      <c r="B194" s="83"/>
      <c r="C194" s="83"/>
      <c r="D194" s="83"/>
      <c r="E194" s="83"/>
      <c r="F194" s="83"/>
      <c r="G194" s="83"/>
      <c r="H194" s="83"/>
    </row>
    <row r="195" spans="1:8" ht="12.5">
      <c r="A195" s="83"/>
      <c r="B195" s="83"/>
      <c r="C195" s="83"/>
      <c r="D195" s="83"/>
      <c r="E195" s="83"/>
      <c r="F195" s="83"/>
      <c r="G195" s="83"/>
      <c r="H195" s="83"/>
    </row>
    <row r="196" spans="1:8" ht="12.5">
      <c r="A196" s="83"/>
      <c r="B196" s="83"/>
      <c r="C196" s="83"/>
      <c r="D196" s="83"/>
      <c r="E196" s="83"/>
      <c r="F196" s="83"/>
      <c r="G196" s="83"/>
      <c r="H196" s="83"/>
    </row>
    <row r="197" spans="1:8" ht="12.5">
      <c r="A197" s="83"/>
      <c r="B197" s="83"/>
      <c r="C197" s="83"/>
      <c r="D197" s="83"/>
      <c r="E197" s="83"/>
      <c r="F197" s="83"/>
      <c r="G197" s="83"/>
      <c r="H197" s="83"/>
    </row>
    <row r="198" spans="1:8" ht="12.5">
      <c r="A198" s="83"/>
      <c r="B198" s="83"/>
      <c r="C198" s="83"/>
      <c r="D198" s="83"/>
      <c r="E198" s="83"/>
      <c r="F198" s="83"/>
      <c r="G198" s="83"/>
      <c r="H198" s="83"/>
    </row>
    <row r="199" spans="1:8" ht="12.5">
      <c r="A199" s="83"/>
      <c r="B199" s="83"/>
      <c r="C199" s="83"/>
      <c r="D199" s="83"/>
      <c r="E199" s="83"/>
      <c r="F199" s="83"/>
      <c r="G199" s="83"/>
      <c r="H199" s="83"/>
    </row>
    <row r="200" spans="1:8" ht="12.5">
      <c r="A200" s="83"/>
      <c r="B200" s="83"/>
      <c r="C200" s="83"/>
      <c r="D200" s="83"/>
      <c r="E200" s="83"/>
      <c r="F200" s="83"/>
      <c r="G200" s="83"/>
      <c r="H200" s="83"/>
    </row>
    <row r="201" spans="1:8" ht="12.5">
      <c r="A201" s="83"/>
      <c r="B201" s="83"/>
      <c r="C201" s="83"/>
      <c r="D201" s="83"/>
      <c r="E201" s="83"/>
      <c r="F201" s="83"/>
      <c r="G201" s="83"/>
      <c r="H201" s="83"/>
    </row>
    <row r="202" spans="1:8" ht="12.5">
      <c r="A202" s="83"/>
      <c r="B202" s="83"/>
      <c r="C202" s="83"/>
      <c r="D202" s="83"/>
      <c r="E202" s="83"/>
      <c r="F202" s="83"/>
      <c r="G202" s="83"/>
      <c r="H202" s="83"/>
    </row>
    <row r="203" spans="1:8" ht="12.5">
      <c r="A203" s="83"/>
      <c r="B203" s="83"/>
      <c r="C203" s="83"/>
      <c r="D203" s="83"/>
      <c r="E203" s="83"/>
      <c r="F203" s="83"/>
      <c r="G203" s="83"/>
      <c r="H203" s="83"/>
    </row>
    <row r="204" spans="1:8" ht="12.5">
      <c r="A204" s="83"/>
      <c r="B204" s="83"/>
      <c r="C204" s="83"/>
      <c r="D204" s="83"/>
      <c r="E204" s="83"/>
      <c r="F204" s="83"/>
      <c r="G204" s="83"/>
      <c r="H204" s="83"/>
    </row>
    <row r="205" spans="1:8" ht="12.5">
      <c r="A205" s="83"/>
      <c r="B205" s="83"/>
      <c r="C205" s="83"/>
      <c r="D205" s="83"/>
      <c r="E205" s="83"/>
      <c r="F205" s="83"/>
      <c r="G205" s="83"/>
      <c r="H205" s="83"/>
    </row>
    <row r="206" spans="1:8" ht="12.5">
      <c r="A206" s="83"/>
      <c r="B206" s="83"/>
      <c r="C206" s="83"/>
      <c r="D206" s="83"/>
      <c r="E206" s="83"/>
      <c r="F206" s="83"/>
      <c r="G206" s="83"/>
      <c r="H206" s="83"/>
    </row>
    <row r="207" spans="1:8" ht="12.5">
      <c r="A207" s="83"/>
      <c r="B207" s="83"/>
      <c r="C207" s="83"/>
      <c r="D207" s="83"/>
      <c r="E207" s="83"/>
      <c r="F207" s="83"/>
      <c r="G207" s="83"/>
      <c r="H207" s="83"/>
    </row>
    <row r="208" spans="1:8" ht="12.5">
      <c r="A208" s="83"/>
      <c r="B208" s="83"/>
      <c r="C208" s="83"/>
      <c r="D208" s="83"/>
      <c r="E208" s="83"/>
      <c r="F208" s="83"/>
      <c r="G208" s="83"/>
      <c r="H208" s="83"/>
    </row>
    <row r="209" spans="1:8" ht="12.5">
      <c r="A209" s="83"/>
      <c r="B209" s="83"/>
      <c r="C209" s="83"/>
      <c r="D209" s="83"/>
      <c r="E209" s="83"/>
      <c r="F209" s="83"/>
      <c r="G209" s="83"/>
      <c r="H209" s="83"/>
    </row>
    <row r="210" spans="1:8" ht="12.5">
      <c r="A210" s="83"/>
      <c r="B210" s="83"/>
      <c r="C210" s="83"/>
      <c r="D210" s="83"/>
      <c r="E210" s="83"/>
      <c r="F210" s="83"/>
      <c r="G210" s="83"/>
      <c r="H210" s="83"/>
    </row>
    <row r="211" spans="1:8" ht="12.5">
      <c r="A211" s="83"/>
      <c r="B211" s="83"/>
      <c r="C211" s="83"/>
      <c r="D211" s="83"/>
      <c r="E211" s="83"/>
      <c r="F211" s="83"/>
      <c r="G211" s="83"/>
      <c r="H211" s="83"/>
    </row>
    <row r="212" spans="1:8" ht="12.5">
      <c r="A212" s="83"/>
      <c r="B212" s="83"/>
      <c r="C212" s="83"/>
      <c r="D212" s="83"/>
      <c r="E212" s="83"/>
      <c r="F212" s="83"/>
      <c r="G212" s="83"/>
      <c r="H212" s="83"/>
    </row>
    <row r="213" spans="1:8" ht="12.5">
      <c r="A213" s="83"/>
      <c r="B213" s="83"/>
      <c r="C213" s="83"/>
      <c r="D213" s="83"/>
      <c r="E213" s="83"/>
      <c r="F213" s="83"/>
      <c r="G213" s="83"/>
      <c r="H213" s="83"/>
    </row>
    <row r="214" spans="1:8" ht="12.5">
      <c r="A214" s="83"/>
      <c r="B214" s="83"/>
      <c r="C214" s="83"/>
      <c r="D214" s="83"/>
      <c r="E214" s="83"/>
      <c r="F214" s="83"/>
      <c r="G214" s="83"/>
      <c r="H214" s="83"/>
    </row>
    <row r="215" spans="1:8" ht="12.5">
      <c r="A215" s="83"/>
      <c r="B215" s="83"/>
      <c r="C215" s="83"/>
      <c r="D215" s="83"/>
      <c r="E215" s="83"/>
      <c r="F215" s="83"/>
      <c r="G215" s="83"/>
      <c r="H215" s="83"/>
    </row>
    <row r="216" spans="1:8" ht="12.5">
      <c r="A216" s="83"/>
      <c r="B216" s="83"/>
      <c r="C216" s="83"/>
      <c r="D216" s="83"/>
      <c r="E216" s="83"/>
      <c r="F216" s="83"/>
      <c r="G216" s="83"/>
      <c r="H216" s="83"/>
    </row>
    <row r="217" spans="1:8" ht="12.5">
      <c r="A217" s="83"/>
      <c r="B217" s="83"/>
      <c r="C217" s="83"/>
      <c r="D217" s="83"/>
      <c r="E217" s="83"/>
      <c r="F217" s="83"/>
      <c r="G217" s="83"/>
      <c r="H217" s="83"/>
    </row>
    <row r="218" spans="1:8" ht="12.5">
      <c r="A218" s="83"/>
      <c r="B218" s="83"/>
      <c r="C218" s="83"/>
      <c r="D218" s="83"/>
      <c r="E218" s="83"/>
      <c r="F218" s="83"/>
      <c r="G218" s="83"/>
      <c r="H218" s="83"/>
    </row>
    <row r="219" spans="1:8" ht="12.5">
      <c r="A219" s="83"/>
      <c r="B219" s="83"/>
      <c r="C219" s="83"/>
      <c r="D219" s="83"/>
      <c r="E219" s="83"/>
      <c r="F219" s="83"/>
      <c r="G219" s="83"/>
      <c r="H219" s="83"/>
    </row>
    <row r="220" spans="1:8" ht="12.5">
      <c r="A220" s="83"/>
      <c r="B220" s="83"/>
      <c r="C220" s="83"/>
      <c r="D220" s="83"/>
      <c r="E220" s="83"/>
      <c r="F220" s="83"/>
      <c r="G220" s="83"/>
      <c r="H220" s="83"/>
    </row>
    <row r="221" spans="1:8" ht="12.5">
      <c r="A221" s="83"/>
      <c r="B221" s="83"/>
      <c r="C221" s="83"/>
      <c r="D221" s="83"/>
      <c r="E221" s="83"/>
      <c r="F221" s="83"/>
      <c r="G221" s="83"/>
      <c r="H221" s="83"/>
    </row>
    <row r="222" spans="1:8" ht="12.5">
      <c r="A222" s="83"/>
      <c r="B222" s="83"/>
      <c r="C222" s="83"/>
      <c r="D222" s="83"/>
      <c r="E222" s="83"/>
      <c r="F222" s="83"/>
      <c r="G222" s="83"/>
      <c r="H222" s="83"/>
    </row>
    <row r="223" spans="1:8" ht="12.5">
      <c r="A223" s="83"/>
      <c r="B223" s="83"/>
      <c r="C223" s="83"/>
      <c r="D223" s="83"/>
      <c r="E223" s="83"/>
      <c r="F223" s="83"/>
      <c r="G223" s="83"/>
      <c r="H223" s="83"/>
    </row>
    <row r="224" spans="1:8" ht="12.5">
      <c r="A224" s="83"/>
      <c r="B224" s="83"/>
      <c r="C224" s="83"/>
      <c r="D224" s="83"/>
      <c r="E224" s="83"/>
      <c r="F224" s="83"/>
      <c r="G224" s="83"/>
      <c r="H224" s="83"/>
    </row>
    <row r="225" spans="1:8" ht="12.5">
      <c r="A225" s="83"/>
      <c r="B225" s="83"/>
      <c r="C225" s="83"/>
      <c r="D225" s="83"/>
      <c r="E225" s="83"/>
      <c r="F225" s="83"/>
      <c r="G225" s="83"/>
      <c r="H225" s="83"/>
    </row>
    <row r="226" spans="1:8" ht="12.5">
      <c r="A226" s="83"/>
      <c r="B226" s="83"/>
      <c r="C226" s="83"/>
      <c r="D226" s="83"/>
      <c r="E226" s="83"/>
      <c r="F226" s="83"/>
      <c r="G226" s="83"/>
      <c r="H226" s="83"/>
    </row>
    <row r="227" spans="1:8" ht="12.5">
      <c r="A227" s="83"/>
      <c r="B227" s="83"/>
      <c r="C227" s="83"/>
      <c r="D227" s="83"/>
      <c r="E227" s="83"/>
      <c r="F227" s="83"/>
      <c r="G227" s="83"/>
      <c r="H227" s="83"/>
    </row>
    <row r="228" spans="1:8" ht="12.5">
      <c r="A228" s="83"/>
      <c r="B228" s="83"/>
      <c r="C228" s="83"/>
      <c r="D228" s="83"/>
      <c r="E228" s="83"/>
      <c r="F228" s="83"/>
      <c r="G228" s="83"/>
      <c r="H228" s="83"/>
    </row>
    <row r="229" spans="1:8" ht="12.5">
      <c r="A229" s="83"/>
      <c r="B229" s="83"/>
      <c r="C229" s="83"/>
      <c r="D229" s="83"/>
      <c r="E229" s="83"/>
      <c r="F229" s="83"/>
      <c r="G229" s="83"/>
      <c r="H229" s="83"/>
    </row>
    <row r="230" spans="1:8" ht="12.5">
      <c r="A230" s="83"/>
      <c r="B230" s="83"/>
      <c r="C230" s="83"/>
      <c r="D230" s="83"/>
      <c r="E230" s="83"/>
      <c r="F230" s="83"/>
      <c r="G230" s="83"/>
      <c r="H230" s="83"/>
    </row>
    <row r="231" spans="1:8" ht="12.5">
      <c r="A231" s="83"/>
      <c r="B231" s="83"/>
      <c r="C231" s="83"/>
      <c r="D231" s="83"/>
      <c r="E231" s="83"/>
      <c r="F231" s="83"/>
      <c r="G231" s="83"/>
      <c r="H231" s="83"/>
    </row>
    <row r="232" spans="1:8" ht="12.5">
      <c r="A232" s="83"/>
      <c r="B232" s="83"/>
      <c r="C232" s="83"/>
      <c r="D232" s="83"/>
      <c r="E232" s="83"/>
      <c r="F232" s="83"/>
      <c r="G232" s="83"/>
      <c r="H232" s="83"/>
    </row>
    <row r="233" spans="1:8" ht="12.5">
      <c r="A233" s="83"/>
      <c r="B233" s="83"/>
      <c r="C233" s="83"/>
      <c r="D233" s="83"/>
      <c r="E233" s="83"/>
      <c r="F233" s="83"/>
      <c r="G233" s="83"/>
      <c r="H233" s="83"/>
    </row>
    <row r="234" spans="1:8" ht="12.5">
      <c r="A234" s="83"/>
      <c r="B234" s="83"/>
      <c r="C234" s="83"/>
      <c r="D234" s="83"/>
      <c r="E234" s="83"/>
      <c r="F234" s="83"/>
      <c r="G234" s="83"/>
      <c r="H234" s="83"/>
    </row>
    <row r="235" spans="1:8" ht="12.5">
      <c r="A235" s="83"/>
      <c r="B235" s="83"/>
      <c r="C235" s="83"/>
      <c r="D235" s="83"/>
      <c r="E235" s="83"/>
      <c r="F235" s="83"/>
      <c r="G235" s="83"/>
      <c r="H235" s="83"/>
    </row>
    <row r="236" spans="1:8" ht="12.5">
      <c r="A236" s="83"/>
      <c r="B236" s="83"/>
      <c r="C236" s="83"/>
      <c r="D236" s="83"/>
      <c r="E236" s="83"/>
      <c r="F236" s="83"/>
      <c r="G236" s="83"/>
      <c r="H236" s="83"/>
    </row>
    <row r="237" spans="1:8" ht="12.5">
      <c r="A237" s="83"/>
      <c r="B237" s="83"/>
      <c r="C237" s="83"/>
      <c r="D237" s="83"/>
      <c r="E237" s="83"/>
      <c r="F237" s="83"/>
      <c r="G237" s="83"/>
      <c r="H237" s="83"/>
    </row>
    <row r="238" spans="1:8" ht="12.5">
      <c r="A238" s="83"/>
      <c r="B238" s="83"/>
      <c r="C238" s="83"/>
      <c r="D238" s="83"/>
      <c r="E238" s="83"/>
      <c r="F238" s="83"/>
      <c r="G238" s="83"/>
      <c r="H238" s="83"/>
    </row>
    <row r="239" spans="1:8" ht="12.5">
      <c r="A239" s="83"/>
      <c r="B239" s="83"/>
      <c r="C239" s="83"/>
      <c r="D239" s="83"/>
      <c r="E239" s="83"/>
      <c r="F239" s="83"/>
      <c r="G239" s="83"/>
      <c r="H239" s="83"/>
    </row>
    <row r="240" spans="1:8" ht="12.5">
      <c r="A240" s="83"/>
      <c r="B240" s="83"/>
      <c r="C240" s="83"/>
      <c r="D240" s="83"/>
      <c r="E240" s="83"/>
      <c r="F240" s="83"/>
      <c r="G240" s="83"/>
      <c r="H240" s="83"/>
    </row>
    <row r="241" spans="1:8" ht="12.5">
      <c r="A241" s="83"/>
      <c r="B241" s="83"/>
      <c r="C241" s="83"/>
      <c r="D241" s="83"/>
      <c r="E241" s="83"/>
      <c r="F241" s="83"/>
      <c r="G241" s="83"/>
      <c r="H241" s="83"/>
    </row>
    <row r="242" spans="1:8" ht="12.5">
      <c r="A242" s="83"/>
      <c r="B242" s="83"/>
      <c r="C242" s="83"/>
      <c r="D242" s="83"/>
      <c r="E242" s="83"/>
      <c r="F242" s="83"/>
      <c r="G242" s="83"/>
      <c r="H242" s="83"/>
    </row>
    <row r="243" spans="1:8" ht="12.5">
      <c r="A243" s="83"/>
      <c r="B243" s="83"/>
      <c r="C243" s="83"/>
      <c r="D243" s="83"/>
      <c r="E243" s="83"/>
      <c r="F243" s="83"/>
      <c r="G243" s="83"/>
      <c r="H243" s="83"/>
    </row>
    <row r="244" spans="1:8" ht="12.5">
      <c r="A244" s="83"/>
      <c r="B244" s="83"/>
      <c r="C244" s="83"/>
      <c r="D244" s="83"/>
      <c r="E244" s="83"/>
      <c r="F244" s="83"/>
      <c r="G244" s="83"/>
      <c r="H244" s="83"/>
    </row>
    <row r="245" spans="1:8" ht="12.5">
      <c r="A245" s="83"/>
      <c r="B245" s="83"/>
      <c r="C245" s="83"/>
      <c r="D245" s="83"/>
      <c r="E245" s="83"/>
      <c r="F245" s="83"/>
      <c r="G245" s="83"/>
      <c r="H245" s="83"/>
    </row>
    <row r="246" spans="1:8" ht="12.5">
      <c r="A246" s="83"/>
      <c r="B246" s="83"/>
      <c r="C246" s="83"/>
      <c r="D246" s="83"/>
      <c r="E246" s="83"/>
      <c r="F246" s="83"/>
      <c r="G246" s="83"/>
      <c r="H246" s="83"/>
    </row>
    <row r="247" spans="1:8" ht="12.5">
      <c r="A247" s="83"/>
      <c r="B247" s="83"/>
      <c r="C247" s="83"/>
      <c r="D247" s="83"/>
      <c r="E247" s="83"/>
      <c r="F247" s="83"/>
      <c r="G247" s="83"/>
      <c r="H247" s="83"/>
    </row>
    <row r="248" spans="1:8" ht="12.5">
      <c r="A248" s="83"/>
      <c r="B248" s="83"/>
      <c r="C248" s="83"/>
      <c r="D248" s="83"/>
      <c r="E248" s="83"/>
      <c r="F248" s="83"/>
      <c r="G248" s="83"/>
      <c r="H248" s="83"/>
    </row>
    <row r="249" spans="1:8" ht="12.5">
      <c r="A249" s="83"/>
      <c r="B249" s="83"/>
      <c r="C249" s="83"/>
      <c r="D249" s="83"/>
      <c r="E249" s="83"/>
      <c r="F249" s="83"/>
      <c r="G249" s="83"/>
      <c r="H249" s="83"/>
    </row>
    <row r="250" spans="1:8" ht="12.5">
      <c r="A250" s="83"/>
      <c r="B250" s="83"/>
      <c r="C250" s="83"/>
      <c r="D250" s="83"/>
      <c r="E250" s="83"/>
      <c r="F250" s="83"/>
      <c r="G250" s="83"/>
      <c r="H250" s="83"/>
    </row>
    <row r="251" spans="1:8" ht="12.5">
      <c r="A251" s="83"/>
      <c r="B251" s="83"/>
      <c r="C251" s="83"/>
      <c r="D251" s="83"/>
      <c r="E251" s="83"/>
      <c r="F251" s="83"/>
      <c r="G251" s="83"/>
      <c r="H251" s="83"/>
    </row>
    <row r="252" spans="1:8" ht="12.5">
      <c r="A252" s="83"/>
      <c r="B252" s="83"/>
      <c r="C252" s="83"/>
      <c r="D252" s="83"/>
      <c r="E252" s="83"/>
      <c r="F252" s="83"/>
      <c r="G252" s="83"/>
      <c r="H252" s="83"/>
    </row>
    <row r="253" spans="1:8" ht="12.5">
      <c r="A253" s="83"/>
      <c r="B253" s="83"/>
      <c r="C253" s="83"/>
      <c r="D253" s="83"/>
      <c r="E253" s="83"/>
      <c r="F253" s="83"/>
      <c r="G253" s="83"/>
      <c r="H253" s="83"/>
    </row>
    <row r="254" spans="1:8" ht="12.5">
      <c r="A254" s="83"/>
      <c r="B254" s="83"/>
      <c r="C254" s="83"/>
      <c r="D254" s="83"/>
      <c r="E254" s="83"/>
      <c r="F254" s="83"/>
      <c r="G254" s="83"/>
      <c r="H254" s="83"/>
    </row>
    <row r="255" spans="1:8" ht="12.5">
      <c r="A255" s="83"/>
      <c r="B255" s="83"/>
      <c r="C255" s="83"/>
      <c r="D255" s="83"/>
      <c r="E255" s="83"/>
      <c r="F255" s="83"/>
      <c r="G255" s="83"/>
      <c r="H255" s="83"/>
    </row>
    <row r="256" spans="1:8" ht="12.5">
      <c r="A256" s="83"/>
      <c r="B256" s="83"/>
      <c r="C256" s="83"/>
      <c r="D256" s="83"/>
      <c r="E256" s="83"/>
      <c r="F256" s="83"/>
      <c r="G256" s="83"/>
      <c r="H256" s="83"/>
    </row>
    <row r="257" spans="1:8" ht="12.5">
      <c r="A257" s="83"/>
      <c r="B257" s="83"/>
      <c r="C257" s="83"/>
      <c r="D257" s="83"/>
      <c r="E257" s="83"/>
      <c r="F257" s="83"/>
      <c r="G257" s="83"/>
      <c r="H257" s="83"/>
    </row>
    <row r="258" spans="1:8" ht="12.5">
      <c r="A258" s="83"/>
      <c r="B258" s="83"/>
      <c r="C258" s="83"/>
      <c r="D258" s="83"/>
      <c r="E258" s="83"/>
      <c r="F258" s="83"/>
      <c r="G258" s="83"/>
      <c r="H258" s="83"/>
    </row>
    <row r="259" spans="1:8" ht="12.5">
      <c r="A259" s="83"/>
      <c r="B259" s="83"/>
      <c r="C259" s="83"/>
      <c r="D259" s="83"/>
      <c r="E259" s="83"/>
      <c r="F259" s="83"/>
      <c r="G259" s="83"/>
      <c r="H259" s="83"/>
    </row>
    <row r="260" spans="1:8" ht="12.5">
      <c r="A260" s="83"/>
      <c r="B260" s="83"/>
      <c r="C260" s="83"/>
      <c r="D260" s="83"/>
      <c r="E260" s="83"/>
      <c r="F260" s="83"/>
      <c r="G260" s="83"/>
      <c r="H260" s="83"/>
    </row>
    <row r="261" spans="1:8" ht="12.5">
      <c r="A261" s="83"/>
      <c r="B261" s="83"/>
      <c r="C261" s="83"/>
      <c r="D261" s="83"/>
      <c r="E261" s="83"/>
      <c r="F261" s="83"/>
      <c r="G261" s="83"/>
      <c r="H261" s="83"/>
    </row>
    <row r="262" spans="1:8" ht="12.5">
      <c r="A262" s="83"/>
      <c r="B262" s="83"/>
      <c r="C262" s="83"/>
      <c r="D262" s="83"/>
      <c r="E262" s="83"/>
      <c r="F262" s="83"/>
      <c r="G262" s="83"/>
      <c r="H262" s="83"/>
    </row>
    <row r="263" spans="1:8" ht="12.5">
      <c r="A263" s="83"/>
      <c r="B263" s="83"/>
      <c r="C263" s="83"/>
      <c r="D263" s="83"/>
      <c r="E263" s="83"/>
      <c r="F263" s="83"/>
      <c r="G263" s="83"/>
      <c r="H263" s="83"/>
    </row>
    <row r="264" spans="1:8" ht="12.5">
      <c r="A264" s="83"/>
      <c r="B264" s="83"/>
      <c r="C264" s="83"/>
      <c r="D264" s="83"/>
      <c r="E264" s="83"/>
      <c r="F264" s="83"/>
      <c r="G264" s="83"/>
      <c r="H264" s="83"/>
    </row>
    <row r="265" spans="1:8" ht="12.5">
      <c r="A265" s="83"/>
      <c r="B265" s="83"/>
      <c r="C265" s="83"/>
      <c r="D265" s="83"/>
      <c r="E265" s="83"/>
      <c r="F265" s="83"/>
      <c r="G265" s="83"/>
      <c r="H265" s="83"/>
    </row>
    <row r="266" spans="1:8" ht="12.5">
      <c r="A266" s="83"/>
      <c r="B266" s="83"/>
      <c r="C266" s="83"/>
      <c r="D266" s="83"/>
      <c r="E266" s="83"/>
      <c r="F266" s="83"/>
      <c r="G266" s="83"/>
      <c r="H266" s="83"/>
    </row>
    <row r="267" spans="1:8" ht="12.5">
      <c r="A267" s="83"/>
      <c r="B267" s="83"/>
      <c r="C267" s="83"/>
      <c r="D267" s="83"/>
      <c r="E267" s="83"/>
      <c r="F267" s="83"/>
      <c r="G267" s="83"/>
      <c r="H267" s="83"/>
    </row>
    <row r="268" spans="1:8" ht="12.5">
      <c r="A268" s="83"/>
      <c r="B268" s="83"/>
      <c r="C268" s="83"/>
      <c r="D268" s="83"/>
      <c r="E268" s="83"/>
      <c r="F268" s="83"/>
      <c r="G268" s="83"/>
      <c r="H268" s="83"/>
    </row>
    <row r="269" spans="1:8" ht="12.5">
      <c r="A269" s="83"/>
      <c r="B269" s="83"/>
      <c r="C269" s="83"/>
      <c r="D269" s="83"/>
      <c r="E269" s="83"/>
      <c r="F269" s="83"/>
      <c r="G269" s="83"/>
      <c r="H269" s="83"/>
    </row>
    <row r="270" spans="1:8" ht="12.5">
      <c r="A270" s="83"/>
      <c r="B270" s="83"/>
      <c r="C270" s="83"/>
      <c r="D270" s="83"/>
      <c r="E270" s="83"/>
      <c r="F270" s="83"/>
      <c r="G270" s="83"/>
      <c r="H270" s="83"/>
    </row>
    <row r="271" spans="1:8" ht="12.5">
      <c r="A271" s="83"/>
      <c r="B271" s="83"/>
      <c r="C271" s="83"/>
      <c r="D271" s="83"/>
      <c r="E271" s="83"/>
      <c r="F271" s="83"/>
      <c r="G271" s="83"/>
      <c r="H271" s="83"/>
    </row>
    <row r="272" spans="1:8" ht="12.5">
      <c r="A272" s="83"/>
      <c r="B272" s="83"/>
      <c r="C272" s="83"/>
      <c r="D272" s="83"/>
      <c r="E272" s="83"/>
      <c r="F272" s="83"/>
      <c r="G272" s="83"/>
      <c r="H272" s="83"/>
    </row>
    <row r="273" spans="1:8" ht="12.5">
      <c r="A273" s="83"/>
      <c r="B273" s="83"/>
      <c r="C273" s="83"/>
      <c r="D273" s="83"/>
      <c r="E273" s="83"/>
      <c r="F273" s="83"/>
      <c r="G273" s="83"/>
      <c r="H273" s="83"/>
    </row>
    <row r="274" spans="1:8" ht="12.5">
      <c r="A274" s="83"/>
      <c r="B274" s="83"/>
      <c r="C274" s="83"/>
      <c r="D274" s="83"/>
      <c r="E274" s="83"/>
      <c r="F274" s="83"/>
      <c r="G274" s="83"/>
      <c r="H274" s="83"/>
    </row>
    <row r="275" spans="1:8" ht="12.5">
      <c r="A275" s="83"/>
      <c r="B275" s="83"/>
      <c r="C275" s="83"/>
      <c r="D275" s="83"/>
      <c r="E275" s="83"/>
      <c r="F275" s="83"/>
      <c r="G275" s="83"/>
      <c r="H275" s="83"/>
    </row>
    <row r="276" spans="1:8" ht="12.5">
      <c r="A276" s="83"/>
      <c r="B276" s="83"/>
      <c r="C276" s="83"/>
      <c r="D276" s="83"/>
      <c r="E276" s="83"/>
      <c r="F276" s="83"/>
      <c r="G276" s="83"/>
      <c r="H276" s="83"/>
    </row>
    <row r="277" spans="1:8" ht="12.5">
      <c r="A277" s="83"/>
      <c r="B277" s="83"/>
      <c r="C277" s="83"/>
      <c r="D277" s="83"/>
      <c r="E277" s="83"/>
      <c r="F277" s="83"/>
      <c r="G277" s="83"/>
      <c r="H277" s="83"/>
    </row>
    <row r="278" spans="1:8" ht="12.5">
      <c r="A278" s="83"/>
      <c r="B278" s="83"/>
      <c r="C278" s="83"/>
      <c r="D278" s="83"/>
      <c r="E278" s="83"/>
      <c r="F278" s="83"/>
      <c r="G278" s="83"/>
      <c r="H278" s="83"/>
    </row>
    <row r="279" spans="1:8" ht="12.5">
      <c r="A279" s="83"/>
      <c r="B279" s="83"/>
      <c r="C279" s="83"/>
      <c r="D279" s="83"/>
      <c r="E279" s="83"/>
      <c r="F279" s="83"/>
      <c r="G279" s="83"/>
      <c r="H279" s="83"/>
    </row>
    <row r="280" spans="1:8" ht="12.5">
      <c r="A280" s="83"/>
      <c r="B280" s="83"/>
      <c r="C280" s="83"/>
      <c r="D280" s="83"/>
      <c r="E280" s="83"/>
      <c r="F280" s="83"/>
      <c r="G280" s="83"/>
      <c r="H280" s="83"/>
    </row>
    <row r="281" spans="1:8" ht="12.5">
      <c r="A281" s="83"/>
      <c r="B281" s="83"/>
      <c r="C281" s="83"/>
      <c r="D281" s="83"/>
      <c r="E281" s="83"/>
      <c r="F281" s="83"/>
      <c r="G281" s="83"/>
      <c r="H281" s="83"/>
    </row>
    <row r="282" spans="1:8" ht="12.5">
      <c r="A282" s="83"/>
      <c r="B282" s="83"/>
      <c r="C282" s="83"/>
      <c r="D282" s="83"/>
      <c r="E282" s="83"/>
      <c r="F282" s="83"/>
      <c r="G282" s="83"/>
      <c r="H282" s="83"/>
    </row>
    <row r="283" spans="1:8" ht="12.5">
      <c r="A283" s="83"/>
      <c r="B283" s="83"/>
      <c r="C283" s="83"/>
      <c r="D283" s="83"/>
      <c r="E283" s="83"/>
      <c r="F283" s="83"/>
      <c r="G283" s="83"/>
      <c r="H283" s="83"/>
    </row>
    <row r="284" spans="1:8" ht="12.5">
      <c r="A284" s="83"/>
      <c r="B284" s="83"/>
      <c r="C284" s="83"/>
      <c r="D284" s="83"/>
      <c r="E284" s="83"/>
      <c r="F284" s="83"/>
      <c r="G284" s="83"/>
      <c r="H284" s="83"/>
    </row>
    <row r="285" spans="1:8" ht="12.5">
      <c r="A285" s="83"/>
      <c r="B285" s="83"/>
      <c r="C285" s="83"/>
      <c r="D285" s="83"/>
      <c r="E285" s="83"/>
      <c r="F285" s="83"/>
      <c r="G285" s="83"/>
      <c r="H285" s="83"/>
    </row>
    <row r="286" spans="1:8" ht="12.5">
      <c r="A286" s="83"/>
      <c r="B286" s="83"/>
      <c r="C286" s="83"/>
      <c r="D286" s="83"/>
      <c r="E286" s="83"/>
      <c r="F286" s="83"/>
      <c r="G286" s="83"/>
      <c r="H286" s="83"/>
    </row>
    <row r="287" spans="1:8" ht="12.5">
      <c r="A287" s="83"/>
      <c r="B287" s="83"/>
      <c r="C287" s="83"/>
      <c r="D287" s="83"/>
      <c r="E287" s="83"/>
      <c r="F287" s="83"/>
      <c r="G287" s="83"/>
      <c r="H287" s="83"/>
    </row>
    <row r="288" spans="1:8" ht="12.5">
      <c r="A288" s="83"/>
      <c r="B288" s="83"/>
      <c r="C288" s="83"/>
      <c r="D288" s="83"/>
      <c r="E288" s="83"/>
      <c r="F288" s="83"/>
      <c r="G288" s="83"/>
      <c r="H288" s="83"/>
    </row>
    <row r="289" spans="1:8" ht="12.5">
      <c r="A289" s="83"/>
      <c r="B289" s="83"/>
      <c r="C289" s="83"/>
      <c r="D289" s="83"/>
      <c r="E289" s="83"/>
      <c r="F289" s="83"/>
      <c r="G289" s="83"/>
      <c r="H289" s="83"/>
    </row>
    <row r="290" spans="1:8" ht="12.5">
      <c r="A290" s="83"/>
      <c r="B290" s="83"/>
      <c r="C290" s="83"/>
      <c r="D290" s="83"/>
      <c r="E290" s="83"/>
      <c r="F290" s="83"/>
      <c r="G290" s="83"/>
      <c r="H290" s="83"/>
    </row>
    <row r="291" spans="1:8" ht="12.5">
      <c r="A291" s="83"/>
      <c r="B291" s="83"/>
      <c r="C291" s="83"/>
      <c r="D291" s="83"/>
      <c r="E291" s="83"/>
      <c r="F291" s="83"/>
      <c r="G291" s="83"/>
      <c r="H291" s="83"/>
    </row>
    <row r="292" spans="1:8" ht="12.5">
      <c r="A292" s="83"/>
      <c r="B292" s="83"/>
      <c r="C292" s="83"/>
      <c r="D292" s="83"/>
      <c r="E292" s="83"/>
      <c r="F292" s="83"/>
      <c r="G292" s="83"/>
      <c r="H292" s="83"/>
    </row>
    <row r="293" spans="1:8" ht="12.5">
      <c r="A293" s="83"/>
      <c r="B293" s="83"/>
      <c r="C293" s="83"/>
      <c r="D293" s="83"/>
      <c r="E293" s="83"/>
      <c r="F293" s="83"/>
      <c r="G293" s="83"/>
      <c r="H293" s="83"/>
    </row>
    <row r="294" spans="1:8" ht="12.5">
      <c r="A294" s="83"/>
      <c r="B294" s="83"/>
      <c r="C294" s="83"/>
      <c r="D294" s="83"/>
      <c r="E294" s="83"/>
      <c r="F294" s="83"/>
      <c r="G294" s="83"/>
      <c r="H294" s="83"/>
    </row>
    <row r="295" spans="1:8" ht="12.5">
      <c r="A295" s="83"/>
      <c r="B295" s="83"/>
      <c r="C295" s="83"/>
      <c r="D295" s="83"/>
      <c r="E295" s="83"/>
      <c r="F295" s="83"/>
      <c r="G295" s="83"/>
      <c r="H295" s="83"/>
    </row>
    <row r="296" spans="1:8" ht="12.5">
      <c r="A296" s="83"/>
      <c r="B296" s="83"/>
      <c r="C296" s="83"/>
      <c r="D296" s="83"/>
      <c r="E296" s="83"/>
      <c r="F296" s="83"/>
      <c r="G296" s="83"/>
      <c r="H296" s="83"/>
    </row>
    <row r="297" spans="1:8" ht="12.5">
      <c r="A297" s="83"/>
      <c r="B297" s="83"/>
      <c r="C297" s="83"/>
      <c r="D297" s="83"/>
      <c r="E297" s="83"/>
      <c r="F297" s="83"/>
      <c r="G297" s="83"/>
      <c r="H297" s="83"/>
    </row>
    <row r="298" spans="1:8" ht="12.5">
      <c r="A298" s="83"/>
      <c r="B298" s="83"/>
      <c r="C298" s="83"/>
      <c r="D298" s="83"/>
      <c r="E298" s="83"/>
      <c r="F298" s="83"/>
      <c r="G298" s="83"/>
      <c r="H298" s="83"/>
    </row>
    <row r="299" spans="1:8" ht="12.5">
      <c r="A299" s="83"/>
      <c r="B299" s="83"/>
      <c r="C299" s="83"/>
      <c r="D299" s="83"/>
      <c r="E299" s="83"/>
      <c r="F299" s="83"/>
      <c r="G299" s="83"/>
      <c r="H299" s="83"/>
    </row>
    <row r="300" spans="1:8" ht="12.5">
      <c r="A300" s="83"/>
      <c r="B300" s="83"/>
      <c r="C300" s="83"/>
      <c r="D300" s="83"/>
      <c r="E300" s="83"/>
      <c r="F300" s="83"/>
      <c r="G300" s="83"/>
      <c r="H300" s="83"/>
    </row>
    <row r="301" spans="1:8" ht="12.5">
      <c r="A301" s="83"/>
      <c r="B301" s="83"/>
      <c r="C301" s="83"/>
      <c r="D301" s="83"/>
      <c r="E301" s="83"/>
      <c r="F301" s="83"/>
      <c r="G301" s="83"/>
      <c r="H301" s="83"/>
    </row>
    <row r="302" spans="1:8" ht="12.5">
      <c r="A302" s="83"/>
      <c r="B302" s="83"/>
      <c r="C302" s="83"/>
      <c r="D302" s="83"/>
      <c r="E302" s="83"/>
      <c r="F302" s="83"/>
      <c r="G302" s="83"/>
      <c r="H302" s="83"/>
    </row>
    <row r="303" spans="1:8" ht="12.5">
      <c r="A303" s="83"/>
      <c r="B303" s="83"/>
      <c r="C303" s="83"/>
      <c r="D303" s="83"/>
      <c r="E303" s="83"/>
      <c r="F303" s="83"/>
      <c r="G303" s="83"/>
      <c r="H303" s="83"/>
    </row>
    <row r="304" spans="1:8" ht="12.5">
      <c r="A304" s="83"/>
      <c r="B304" s="83"/>
      <c r="C304" s="83"/>
      <c r="D304" s="83"/>
      <c r="E304" s="83"/>
      <c r="F304" s="83"/>
      <c r="G304" s="83"/>
      <c r="H304" s="83"/>
    </row>
    <row r="305" spans="1:8" ht="12.5">
      <c r="A305" s="83"/>
      <c r="B305" s="83"/>
      <c r="C305" s="83"/>
      <c r="D305" s="83"/>
      <c r="E305" s="83"/>
      <c r="F305" s="83"/>
      <c r="G305" s="83"/>
      <c r="H305" s="83"/>
    </row>
    <row r="306" spans="1:8" ht="12.5">
      <c r="A306" s="83"/>
      <c r="B306" s="83"/>
      <c r="C306" s="83"/>
      <c r="D306" s="83"/>
      <c r="E306" s="83"/>
      <c r="F306" s="83"/>
      <c r="G306" s="83"/>
      <c r="H306" s="83"/>
    </row>
    <row r="307" spans="1:8" ht="12.5">
      <c r="A307" s="83"/>
      <c r="B307" s="83"/>
      <c r="C307" s="83"/>
      <c r="D307" s="83"/>
      <c r="E307" s="83"/>
      <c r="F307" s="83"/>
      <c r="G307" s="83"/>
      <c r="H307" s="83"/>
    </row>
    <row r="308" spans="1:8" ht="12.5">
      <c r="A308" s="83"/>
      <c r="B308" s="83"/>
      <c r="C308" s="83"/>
      <c r="D308" s="83"/>
      <c r="E308" s="83"/>
      <c r="F308" s="83"/>
      <c r="G308" s="83"/>
      <c r="H308" s="83"/>
    </row>
    <row r="309" spans="1:8" ht="12.5">
      <c r="A309" s="83"/>
      <c r="B309" s="83"/>
      <c r="C309" s="83"/>
      <c r="D309" s="83"/>
      <c r="E309" s="83"/>
      <c r="F309" s="83"/>
      <c r="G309" s="83"/>
      <c r="H309" s="83"/>
    </row>
    <row r="310" spans="1:8" ht="12.5">
      <c r="A310" s="83"/>
      <c r="B310" s="83"/>
      <c r="C310" s="83"/>
      <c r="D310" s="83"/>
      <c r="E310" s="83"/>
      <c r="F310" s="83"/>
      <c r="G310" s="83"/>
      <c r="H310" s="83"/>
    </row>
    <row r="311" spans="1:8" ht="12.5">
      <c r="A311" s="83"/>
      <c r="B311" s="83"/>
      <c r="C311" s="83"/>
      <c r="D311" s="83"/>
      <c r="E311" s="83"/>
      <c r="F311" s="83"/>
      <c r="G311" s="83"/>
      <c r="H311" s="83"/>
    </row>
    <row r="312" spans="1:8" ht="12.5">
      <c r="A312" s="83"/>
      <c r="B312" s="83"/>
      <c r="C312" s="83"/>
      <c r="D312" s="83"/>
      <c r="E312" s="83"/>
      <c r="F312" s="83"/>
      <c r="G312" s="83"/>
      <c r="H312" s="83"/>
    </row>
    <row r="313" spans="1:8" ht="12.5">
      <c r="A313" s="83"/>
      <c r="B313" s="83"/>
      <c r="C313" s="83"/>
      <c r="D313" s="83"/>
      <c r="E313" s="83"/>
      <c r="F313" s="83"/>
      <c r="G313" s="83"/>
      <c r="H313" s="83"/>
    </row>
    <row r="314" spans="1:8" ht="12.5">
      <c r="A314" s="83"/>
      <c r="B314" s="83"/>
      <c r="C314" s="83"/>
      <c r="D314" s="83"/>
      <c r="E314" s="83"/>
      <c r="F314" s="83"/>
      <c r="G314" s="83"/>
      <c r="H314" s="83"/>
    </row>
    <row r="315" spans="1:8" ht="12.5">
      <c r="A315" s="83"/>
      <c r="B315" s="83"/>
      <c r="C315" s="83"/>
      <c r="D315" s="83"/>
      <c r="E315" s="83"/>
      <c r="F315" s="83"/>
      <c r="G315" s="83"/>
      <c r="H315" s="83"/>
    </row>
    <row r="316" spans="1:8" ht="12.5">
      <c r="A316" s="83"/>
      <c r="B316" s="83"/>
      <c r="C316" s="83"/>
      <c r="D316" s="83"/>
      <c r="E316" s="83"/>
      <c r="F316" s="83"/>
      <c r="G316" s="83"/>
      <c r="H316" s="83"/>
    </row>
    <row r="317" spans="1:8" ht="12.5">
      <c r="A317" s="83"/>
      <c r="B317" s="83"/>
      <c r="C317" s="83"/>
      <c r="D317" s="83"/>
      <c r="E317" s="83"/>
      <c r="F317" s="83"/>
      <c r="G317" s="83"/>
      <c r="H317" s="83"/>
    </row>
    <row r="318" spans="1:8" ht="12.5">
      <c r="A318" s="83"/>
      <c r="B318" s="83"/>
      <c r="C318" s="83"/>
      <c r="D318" s="83"/>
      <c r="E318" s="83"/>
      <c r="F318" s="83"/>
      <c r="G318" s="83"/>
      <c r="H318" s="83"/>
    </row>
    <row r="319" spans="1:8" ht="12.5">
      <c r="A319" s="83"/>
      <c r="B319" s="83"/>
      <c r="C319" s="83"/>
      <c r="D319" s="83"/>
      <c r="E319" s="83"/>
      <c r="F319" s="83"/>
      <c r="G319" s="83"/>
      <c r="H319" s="83"/>
    </row>
    <row r="320" spans="1:8" ht="12.5">
      <c r="A320" s="83"/>
      <c r="B320" s="83"/>
      <c r="C320" s="83"/>
      <c r="D320" s="83"/>
      <c r="E320" s="83"/>
      <c r="F320" s="83"/>
      <c r="G320" s="83"/>
      <c r="H320" s="83"/>
    </row>
    <row r="321" spans="1:8" ht="12.5">
      <c r="A321" s="83"/>
      <c r="B321" s="83"/>
      <c r="C321" s="83"/>
      <c r="D321" s="83"/>
      <c r="E321" s="83"/>
      <c r="F321" s="83"/>
      <c r="G321" s="83"/>
      <c r="H321" s="83"/>
    </row>
    <row r="322" spans="1:8" ht="12.5">
      <c r="A322" s="83"/>
      <c r="B322" s="83"/>
      <c r="C322" s="83"/>
      <c r="D322" s="83"/>
      <c r="E322" s="83"/>
      <c r="F322" s="83"/>
      <c r="G322" s="83"/>
      <c r="H322" s="83"/>
    </row>
    <row r="323" spans="1:8" ht="12.5">
      <c r="A323" s="83"/>
      <c r="B323" s="83"/>
      <c r="C323" s="83"/>
      <c r="D323" s="83"/>
      <c r="E323" s="83"/>
      <c r="F323" s="83"/>
      <c r="G323" s="83"/>
      <c r="H323" s="83"/>
    </row>
    <row r="324" spans="1:8" ht="12.5">
      <c r="A324" s="83"/>
      <c r="B324" s="83"/>
      <c r="C324" s="83"/>
      <c r="D324" s="83"/>
      <c r="E324" s="83"/>
      <c r="F324" s="83"/>
      <c r="G324" s="83"/>
      <c r="H324" s="83"/>
    </row>
    <row r="325" spans="1:8" ht="12.5">
      <c r="A325" s="83"/>
      <c r="B325" s="83"/>
      <c r="C325" s="83"/>
      <c r="D325" s="83"/>
      <c r="E325" s="83"/>
      <c r="F325" s="83"/>
      <c r="G325" s="83"/>
      <c r="H325" s="83"/>
    </row>
    <row r="326" spans="1:8" ht="12.5">
      <c r="A326" s="83"/>
      <c r="B326" s="83"/>
      <c r="C326" s="83"/>
      <c r="D326" s="83"/>
      <c r="E326" s="83"/>
      <c r="F326" s="83"/>
      <c r="G326" s="83"/>
      <c r="H326" s="83"/>
    </row>
    <row r="327" spans="1:8" ht="12.5">
      <c r="A327" s="83"/>
      <c r="B327" s="83"/>
      <c r="C327" s="83"/>
      <c r="D327" s="83"/>
      <c r="E327" s="83"/>
      <c r="F327" s="83"/>
      <c r="G327" s="83"/>
      <c r="H327" s="83"/>
    </row>
    <row r="328" spans="1:8" ht="12.5">
      <c r="A328" s="83"/>
      <c r="B328" s="83"/>
      <c r="C328" s="83"/>
      <c r="D328" s="83"/>
      <c r="E328" s="83"/>
      <c r="F328" s="83"/>
      <c r="G328" s="83"/>
      <c r="H328" s="83"/>
    </row>
    <row r="329" spans="1:8" ht="12.5">
      <c r="A329" s="83"/>
      <c r="B329" s="83"/>
      <c r="C329" s="83"/>
      <c r="D329" s="83"/>
      <c r="E329" s="83"/>
      <c r="F329" s="83"/>
      <c r="G329" s="83"/>
      <c r="H329" s="83"/>
    </row>
    <row r="330" spans="1:8" ht="12.5">
      <c r="A330" s="83"/>
      <c r="B330" s="83"/>
      <c r="C330" s="83"/>
      <c r="D330" s="83"/>
      <c r="E330" s="83"/>
      <c r="F330" s="83"/>
      <c r="G330" s="83"/>
      <c r="H330" s="83"/>
    </row>
    <row r="331" spans="1:8" ht="12.5">
      <c r="A331" s="83"/>
      <c r="B331" s="83"/>
      <c r="C331" s="83"/>
      <c r="D331" s="83"/>
      <c r="E331" s="83"/>
      <c r="F331" s="83"/>
      <c r="G331" s="83"/>
      <c r="H331" s="83"/>
    </row>
    <row r="332" spans="1:8" ht="12.5">
      <c r="A332" s="83"/>
      <c r="B332" s="83"/>
      <c r="C332" s="83"/>
      <c r="D332" s="83"/>
      <c r="E332" s="83"/>
      <c r="F332" s="83"/>
      <c r="G332" s="83"/>
      <c r="H332" s="83"/>
    </row>
    <row r="333" spans="1:8" ht="12.5">
      <c r="A333" s="83"/>
      <c r="B333" s="83"/>
      <c r="C333" s="83"/>
      <c r="D333" s="83"/>
      <c r="E333" s="83"/>
      <c r="F333" s="83"/>
      <c r="G333" s="83"/>
      <c r="H333" s="83"/>
    </row>
    <row r="334" spans="1:8" ht="12.5">
      <c r="A334" s="83"/>
      <c r="B334" s="83"/>
      <c r="C334" s="83"/>
      <c r="D334" s="83"/>
      <c r="E334" s="83"/>
      <c r="F334" s="83"/>
      <c r="G334" s="83"/>
      <c r="H334" s="83"/>
    </row>
    <row r="335" spans="1:8" ht="12.5">
      <c r="A335" s="83"/>
      <c r="B335" s="83"/>
      <c r="C335" s="83"/>
      <c r="D335" s="83"/>
      <c r="E335" s="83"/>
      <c r="F335" s="83"/>
      <c r="G335" s="83"/>
      <c r="H335" s="83"/>
    </row>
    <row r="336" spans="1:8" ht="12.5">
      <c r="A336" s="83"/>
      <c r="B336" s="83"/>
      <c r="C336" s="83"/>
      <c r="D336" s="83"/>
      <c r="E336" s="83"/>
      <c r="F336" s="83"/>
      <c r="G336" s="83"/>
      <c r="H336" s="83"/>
    </row>
    <row r="337" spans="1:8" ht="12.5">
      <c r="A337" s="83"/>
      <c r="B337" s="83"/>
      <c r="C337" s="83"/>
      <c r="D337" s="83"/>
      <c r="E337" s="83"/>
      <c r="F337" s="83"/>
      <c r="G337" s="83"/>
      <c r="H337" s="83"/>
    </row>
    <row r="338" spans="1:8" ht="12.5">
      <c r="A338" s="83"/>
      <c r="B338" s="83"/>
      <c r="C338" s="83"/>
      <c r="D338" s="83"/>
      <c r="E338" s="83"/>
      <c r="F338" s="83"/>
      <c r="G338" s="83"/>
      <c r="H338" s="83"/>
    </row>
  </sheetData>
  <autoFilter ref="A5:H138" xr:uid="{00000000-0009-0000-0000-000012000000}"/>
  <dataValidations count="1">
    <dataValidation type="list" allowBlank="1" showInputMessage="1" showErrorMessage="1" sqref="F6" xr:uid="{00000000-0002-0000-1200-000000000000}">
      <formula1>"yes,no"</formula1>
    </dataValidation>
  </dataValidations>
  <pageMargins left="0.7" right="0.7" top="0.75" bottom="0.75" header="0.3" footer="0.3"/>
  <pageSetup orientation="portrait"/>
  <customProperties>
    <customPr name="MMSheetType" r:id="rId1"/>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CW138"/>
  <sheetViews>
    <sheetView showGridLines="0" workbookViewId="0"/>
  </sheetViews>
  <sheetFormatPr defaultColWidth="0" defaultRowHeight="10"/>
  <cols>
    <col min="1" max="1" width="36.77734375" style="121" customWidth="1"/>
    <col min="2" max="2" width="28.109375" style="121" customWidth="1"/>
    <col min="3" max="3" width="23.109375" style="121" customWidth="1"/>
    <col min="4" max="4" width="9.33203125" style="121" customWidth="1"/>
    <col min="5" max="26" width="9.33203125" style="121" hidden="1" customWidth="1"/>
    <col min="27" max="55" width="9.109375" style="121" hidden="1" customWidth="1"/>
    <col min="56" max="56" width="9.33203125" style="121" hidden="1" customWidth="1"/>
    <col min="57" max="16384" width="9.33203125" style="121" hidden="1"/>
  </cols>
  <sheetData>
    <row r="1" spans="1:55" ht="25">
      <c r="A1" s="46" t="str">
        <f ca="1" xml:space="preserve"> RIGHT(CELL("filename", A1), LEN(CELL("filename", A1)) - SEARCH("]", CELL("filename", A1)))</f>
        <v>Contents</v>
      </c>
    </row>
    <row r="5" spans="1:55" ht="18">
      <c r="A5" s="7" t="s">
        <v>42</v>
      </c>
      <c r="B5" s="166"/>
      <c r="C5" s="166"/>
      <c r="D5" s="10"/>
      <c r="E5" s="10"/>
      <c r="F5" s="10"/>
      <c r="G5" s="10"/>
      <c r="H5" s="10"/>
      <c r="I5" s="10"/>
      <c r="J5" s="10"/>
      <c r="K5" s="10"/>
      <c r="L5" s="10"/>
      <c r="M5" s="10"/>
      <c r="N5" s="10"/>
      <c r="O5" s="10"/>
      <c r="P5" s="10"/>
      <c r="Q5" s="10"/>
      <c r="R5" s="10"/>
      <c r="S5" s="10"/>
      <c r="T5" s="10"/>
      <c r="U5" s="10"/>
      <c r="V5" s="10"/>
      <c r="W5" s="10"/>
      <c r="X5" s="10"/>
      <c r="Y5" s="10"/>
      <c r="Z5" s="10"/>
      <c r="AA5" s="10"/>
      <c r="AB5" s="10"/>
      <c r="AC5" s="10"/>
      <c r="AD5" s="10"/>
      <c r="AE5" s="10"/>
      <c r="AF5" s="10"/>
      <c r="AG5" s="10"/>
      <c r="AH5" s="10"/>
      <c r="AI5" s="10"/>
      <c r="AJ5" s="10"/>
      <c r="AK5" s="10"/>
      <c r="AL5" s="10"/>
      <c r="AM5" s="10"/>
      <c r="AN5" s="10"/>
      <c r="AO5" s="10"/>
      <c r="AP5" s="10"/>
      <c r="AQ5" s="10"/>
      <c r="AR5" s="10"/>
      <c r="AS5" s="10"/>
      <c r="AT5" s="10"/>
      <c r="AU5" s="10"/>
      <c r="AV5" s="10"/>
      <c r="AW5" s="10"/>
      <c r="AX5" s="10"/>
      <c r="AY5" s="10"/>
      <c r="AZ5" s="10"/>
      <c r="BA5" s="10"/>
      <c r="BB5" s="10"/>
      <c r="BC5" s="10"/>
    </row>
    <row r="6" spans="1:55" ht="15.5">
      <c r="A6" s="187" t="str">
        <f>HYPERLINK("#TOCrepobxCompany_Report_Year","1.Company Report")</f>
        <v>1.Company Report</v>
      </c>
      <c r="B6" s="93"/>
      <c r="C6" s="162"/>
    </row>
    <row r="7" spans="1:55" ht="15.5">
      <c r="A7" s="187"/>
      <c r="B7" s="93"/>
      <c r="C7" s="162"/>
    </row>
    <row r="8" spans="1:55" ht="15.5">
      <c r="A8" s="187" t="str">
        <f>HYPERLINK("#TOCrepobxCohort_Report_Year","2.Cohort Report")</f>
        <v>2.Cohort Report</v>
      </c>
      <c r="B8" s="93"/>
      <c r="C8" s="162"/>
    </row>
    <row r="9" spans="1:55" ht="15.5">
      <c r="A9" s="187"/>
      <c r="B9" s="93"/>
      <c r="C9" s="162"/>
    </row>
    <row r="10" spans="1:55" ht="15.5">
      <c r="A10" s="187" t="str">
        <f>HYPERLINK("#TOCrepobxFund_Report_Year","3.Fund Report")</f>
        <v>3.Fund Report</v>
      </c>
      <c r="B10" s="93"/>
      <c r="C10" s="162"/>
    </row>
    <row r="11" spans="1:55" ht="15.5">
      <c r="A11" s="187"/>
      <c r="B11" s="93"/>
      <c r="C11" s="162"/>
    </row>
    <row r="12" spans="1:55" ht="15.5">
      <c r="A12" s="187" t="str">
        <f>HYPERLINK("#TOCrepobxPortfolio_Report_Year","4.Portfolio Report")</f>
        <v>4.Portfolio Report</v>
      </c>
      <c r="B12" s="93"/>
      <c r="C12" s="162"/>
    </row>
    <row r="13" spans="1:55" ht="15.5">
      <c r="A13" s="187"/>
      <c r="B13" s="93"/>
      <c r="C13" s="162"/>
    </row>
    <row r="14" spans="1:55" ht="15.5">
      <c r="A14" s="187" t="str">
        <f>HYPERLINK("#TOCrepobxDashboard_Year","5.Dashboard")</f>
        <v>5.Dashboard</v>
      </c>
      <c r="B14" s="93"/>
      <c r="C14" s="162"/>
    </row>
    <row r="15" spans="1:55" ht="15.5">
      <c r="A15" s="187"/>
      <c r="B15" s="93"/>
      <c r="C15" s="162"/>
    </row>
    <row r="16" spans="1:55" ht="15.5">
      <c r="A16" s="187"/>
      <c r="B16" s="93"/>
      <c r="C16" s="162"/>
    </row>
    <row r="17" spans="1:101" ht="18">
      <c r="A17" s="7" t="s">
        <v>131</v>
      </c>
      <c r="B17" s="7" t="s">
        <v>39</v>
      </c>
      <c r="C17" s="7" t="s">
        <v>58</v>
      </c>
      <c r="D17" s="7"/>
      <c r="E17" s="7"/>
      <c r="F17" s="7"/>
      <c r="G17" s="7"/>
      <c r="H17" s="7"/>
      <c r="I17" s="7"/>
      <c r="J17" s="7"/>
      <c r="K17" s="7"/>
      <c r="L17" s="7"/>
      <c r="M17" s="7"/>
      <c r="N17" s="7"/>
      <c r="O17" s="7"/>
      <c r="P17" s="7"/>
      <c r="Q17" s="7"/>
      <c r="R17" s="7"/>
      <c r="S17" s="7"/>
      <c r="T17" s="7"/>
      <c r="U17" s="7"/>
      <c r="V17" s="7"/>
      <c r="W17" s="7"/>
      <c r="X17" s="7"/>
      <c r="Y17" s="7"/>
      <c r="Z17" s="7"/>
      <c r="AA17" s="7"/>
      <c r="AB17" s="7"/>
      <c r="AC17" s="7"/>
      <c r="AD17" s="7"/>
      <c r="AE17" s="7"/>
      <c r="AF17" s="7"/>
      <c r="AG17" s="7"/>
      <c r="AH17" s="7"/>
      <c r="AI17" s="7"/>
      <c r="AJ17" s="7"/>
      <c r="AK17" s="7"/>
      <c r="AL17" s="7"/>
      <c r="AM17" s="7"/>
      <c r="AN17" s="7"/>
      <c r="AO17" s="7"/>
      <c r="AP17" s="7"/>
      <c r="AQ17" s="7"/>
      <c r="AR17" s="7"/>
      <c r="AS17" s="7"/>
      <c r="AT17" s="7"/>
      <c r="AU17" s="7"/>
      <c r="AV17" s="7"/>
      <c r="AW17" s="7"/>
      <c r="AX17" s="7"/>
      <c r="AY17" s="7"/>
      <c r="AZ17" s="7"/>
      <c r="BA17" s="7"/>
      <c r="BB17" s="7"/>
      <c r="BC17" s="7"/>
      <c r="BD17" s="7"/>
      <c r="BE17" s="7"/>
      <c r="BF17" s="7"/>
      <c r="BG17" s="7"/>
      <c r="BH17" s="7"/>
      <c r="BI17" s="7"/>
      <c r="BJ17" s="7"/>
      <c r="BK17" s="7"/>
      <c r="BL17" s="7"/>
      <c r="BM17" s="7"/>
      <c r="BN17" s="7"/>
      <c r="BO17" s="7"/>
      <c r="BP17" s="7"/>
      <c r="BQ17" s="7"/>
      <c r="BR17" s="7"/>
      <c r="BS17" s="7"/>
      <c r="BT17" s="7"/>
      <c r="BU17" s="7"/>
      <c r="BV17" s="7"/>
      <c r="BW17" s="7"/>
      <c r="BX17" s="7"/>
      <c r="BY17" s="7"/>
      <c r="BZ17" s="7"/>
      <c r="CA17" s="7"/>
      <c r="CB17" s="7"/>
      <c r="CC17" s="7"/>
      <c r="CD17" s="7"/>
      <c r="CE17" s="7"/>
      <c r="CF17" s="7"/>
      <c r="CG17" s="7"/>
      <c r="CH17" s="7"/>
      <c r="CI17" s="7"/>
      <c r="CJ17" s="7"/>
      <c r="CK17" s="7"/>
      <c r="CL17" s="7"/>
      <c r="CM17" s="7"/>
      <c r="CN17" s="7"/>
      <c r="CO17" s="7"/>
      <c r="CP17" s="7"/>
      <c r="CQ17" s="7"/>
      <c r="CR17" s="7"/>
      <c r="CS17" s="7"/>
      <c r="CT17" s="7"/>
      <c r="CU17" s="7"/>
      <c r="CV17" s="7"/>
      <c r="CW17" s="7"/>
    </row>
    <row r="18" spans="1:101" ht="15.5">
      <c r="A18" s="187" t="str">
        <f>HYPERLINK("#TOCobxDefect", "1.Defect")</f>
        <v>1.Defect</v>
      </c>
      <c r="B18" s="93"/>
      <c r="C18" s="162"/>
    </row>
    <row r="19" spans="1:101" ht="15.5">
      <c r="A19" s="187"/>
      <c r="B19" s="93"/>
      <c r="C19" s="162"/>
    </row>
    <row r="20" spans="1:101" ht="15.5">
      <c r="A20" s="187" t="str">
        <f>HYPERLINK("#TOCobxInputs", "2.Inputs")</f>
        <v>2.Inputs</v>
      </c>
      <c r="B20" s="93"/>
      <c r="C20" s="162"/>
    </row>
    <row r="21" spans="1:101" ht="15.5">
      <c r="A21" s="187"/>
      <c r="B21" s="93" t="str">
        <f>HYPERLINK("#TOCobxInputs.Company", "2.1.Company")</f>
        <v>2.1.Company</v>
      </c>
      <c r="C21" s="162"/>
    </row>
    <row r="22" spans="1:101" ht="15.5">
      <c r="A22" s="187"/>
      <c r="B22" s="93"/>
      <c r="C22" s="162" t="str">
        <f>HYPERLINK("#TOCobxInputs.Company.Opening_Balances", "2.1.1.Opening Balances")</f>
        <v>2.1.1.Opening Balances</v>
      </c>
    </row>
    <row r="23" spans="1:101" ht="15.5">
      <c r="A23" s="187"/>
      <c r="B23" s="93"/>
      <c r="C23" s="162" t="str">
        <f>HYPERLINK("#TOCobxInputs.Company.Debt", "2.1.2.Debt")</f>
        <v>2.1.2.Debt</v>
      </c>
    </row>
    <row r="24" spans="1:101" ht="15.5">
      <c r="A24" s="187"/>
      <c r="B24" s="93"/>
      <c r="C24" s="162" t="str">
        <f>HYPERLINK("#TOCobxInputs.Company.Equity", "2.1.3.Equity")</f>
        <v>2.1.3.Equity</v>
      </c>
    </row>
    <row r="25" spans="1:101" ht="15.5">
      <c r="A25" s="187"/>
      <c r="B25" s="93"/>
      <c r="C25" s="162" t="str">
        <f>HYPERLINK("#TOCobxInputs.Company.Exit", "2.1.4.Exit")</f>
        <v>2.1.4.Exit</v>
      </c>
    </row>
    <row r="26" spans="1:101" ht="15.5">
      <c r="A26" s="187"/>
      <c r="B26" s="93" t="str">
        <f>HYPERLINK("#TOCobxInputs.Cohort", "2.2.Cohort")</f>
        <v>2.2.Cohort</v>
      </c>
      <c r="C26" s="162"/>
    </row>
    <row r="27" spans="1:101" ht="15.5">
      <c r="A27" s="187"/>
      <c r="B27" s="93"/>
      <c r="C27" s="162"/>
    </row>
    <row r="28" spans="1:101" ht="15.5">
      <c r="A28" s="187" t="str">
        <f>HYPERLINK("#TOCobxTime", "3.Time")</f>
        <v>3.Time</v>
      </c>
      <c r="B28" s="93"/>
      <c r="C28" s="162"/>
    </row>
    <row r="29" spans="1:101" ht="15.5">
      <c r="A29" s="187"/>
      <c r="B29" s="93" t="str">
        <f>HYPERLINK("#TOCobxTime.Headers", "3.1.Headers")</f>
        <v>3.1.Headers</v>
      </c>
      <c r="C29" s="162"/>
    </row>
    <row r="30" spans="1:101" ht="15.5">
      <c r="A30" s="187"/>
      <c r="B30" s="93"/>
      <c r="C30" s="162"/>
    </row>
    <row r="31" spans="1:101" ht="15.5">
      <c r="A31" s="187" t="str">
        <f>HYPERLINK("#TOCobxCompany_Capital_Structure", "4.Company Capital Structure")</f>
        <v>4.Company Capital Structure</v>
      </c>
      <c r="B31" s="93"/>
      <c r="C31" s="162"/>
    </row>
    <row r="32" spans="1:101" ht="15.5">
      <c r="A32" s="187"/>
      <c r="B32" s="93" t="str">
        <f>HYPERLINK("#TOCobxCompany_Capital_Structure.Debt", "4.1.Debt")</f>
        <v>4.1.Debt</v>
      </c>
      <c r="C32" s="162"/>
    </row>
    <row r="33" spans="1:3" ht="15.5">
      <c r="A33" s="187"/>
      <c r="B33" s="93" t="str">
        <f>HYPERLINK("#TOCobxCompany_Capital_Structure.New_Shares", "4.2.New Shares")</f>
        <v>4.2.New Shares</v>
      </c>
      <c r="C33" s="162"/>
    </row>
    <row r="34" spans="1:3" ht="15.5">
      <c r="A34" s="187"/>
      <c r="B34" s="93" t="str">
        <f>HYPERLINK("#TOCobxCompany_Capital_Structure.Shares_In_Issue", "4.3.Shares In Issue")</f>
        <v>4.3.Shares In Issue</v>
      </c>
      <c r="C34" s="162"/>
    </row>
    <row r="35" spans="1:3" ht="15.5">
      <c r="A35" s="187"/>
      <c r="B35" s="93" t="str">
        <f>HYPERLINK("#TOCobxCompany_Capital_Structure.Percentage_Shareholding", "4.4.Percentage Shareholding")</f>
        <v>4.4.Percentage Shareholding</v>
      </c>
      <c r="C35" s="162"/>
    </row>
    <row r="36" spans="1:3" ht="15.5">
      <c r="A36" s="187"/>
      <c r="B36" s="93" t="str">
        <f>HYPERLINK("#TOCobxCompany_Capital_Structure.Equity_Value", "4.5.Equity Value")</f>
        <v>4.5.Equity Value</v>
      </c>
      <c r="C36" s="162"/>
    </row>
    <row r="37" spans="1:3" ht="15.5">
      <c r="A37" s="187"/>
      <c r="B37" s="93" t="str">
        <f>HYPERLINK("#TOCobxCompany_Capital_Structure.Exit", "4.6.Exit")</f>
        <v>4.6.Exit</v>
      </c>
      <c r="C37" s="162"/>
    </row>
    <row r="38" spans="1:3" ht="15.5">
      <c r="A38" s="187"/>
      <c r="B38" s="93"/>
      <c r="C38" s="162"/>
    </row>
    <row r="39" spans="1:3" ht="15.5">
      <c r="A39" s="187"/>
      <c r="B39" s="93"/>
      <c r="C39" s="162"/>
    </row>
    <row r="40" spans="1:3" ht="15.5">
      <c r="A40" s="187" t="str">
        <f>HYPERLINK("#TOCobxCohort_Structure", "5.Cohort Structure")</f>
        <v>5.Cohort Structure</v>
      </c>
      <c r="B40" s="93"/>
      <c r="C40" s="162"/>
    </row>
    <row r="41" spans="1:3" ht="15.5">
      <c r="A41" s="187"/>
      <c r="B41" s="93" t="str">
        <f>HYPERLINK("#TOCobxCohort_Structure.Companies", "5.1.Companies")</f>
        <v>5.1.Companies</v>
      </c>
      <c r="C41" s="162"/>
    </row>
    <row r="42" spans="1:3" ht="15.5">
      <c r="A42" s="187"/>
      <c r="B42" s="93" t="str">
        <f>HYPERLINK("#TOCobxCohort_Structure.Loan", "5.2.Loan")</f>
        <v>5.2.Loan</v>
      </c>
      <c r="C42" s="162"/>
    </row>
    <row r="43" spans="1:3" ht="15.5">
      <c r="A43" s="187"/>
      <c r="B43" s="93" t="str">
        <f>HYPERLINK("#TOCobxCohort_Structure.Returns", "5.3.Returns")</f>
        <v>5.3.Returns</v>
      </c>
      <c r="C43" s="162"/>
    </row>
    <row r="44" spans="1:3" ht="15.5">
      <c r="A44" s="187"/>
      <c r="B44" s="93" t="str">
        <f>HYPERLINK("#TOCobxCohort_Structure.Metrics", "5.4.Metrics")</f>
        <v>5.4.Metrics</v>
      </c>
      <c r="C44" s="162"/>
    </row>
    <row r="45" spans="1:3" ht="15.5">
      <c r="A45" s="187"/>
      <c r="B45" s="93"/>
      <c r="C45" s="162"/>
    </row>
    <row r="46" spans="1:3" ht="15.5">
      <c r="A46" s="187"/>
      <c r="B46" s="93"/>
      <c r="C46" s="162"/>
    </row>
    <row r="47" spans="1:3" ht="15.5">
      <c r="A47" s="187"/>
      <c r="B47" s="93"/>
      <c r="C47" s="162"/>
    </row>
    <row r="48" spans="1:3" ht="15.5">
      <c r="A48" s="187"/>
      <c r="B48" s="93"/>
      <c r="C48" s="162"/>
    </row>
    <row r="49" spans="1:3" ht="15.5">
      <c r="A49" s="187"/>
      <c r="B49" s="93"/>
      <c r="C49" s="162"/>
    </row>
    <row r="50" spans="1:3" ht="15.5">
      <c r="A50" s="187"/>
      <c r="B50" s="93"/>
      <c r="C50" s="162"/>
    </row>
    <row r="51" spans="1:3" ht="15.5">
      <c r="A51" s="187"/>
      <c r="B51" s="93"/>
      <c r="C51" s="162"/>
    </row>
    <row r="52" spans="1:3" ht="15.5">
      <c r="A52" s="187"/>
      <c r="B52" s="93"/>
      <c r="C52" s="162"/>
    </row>
    <row r="53" spans="1:3" ht="15.5">
      <c r="A53" s="187"/>
      <c r="B53" s="93"/>
      <c r="C53" s="162"/>
    </row>
    <row r="54" spans="1:3" ht="15.5">
      <c r="A54" s="187"/>
      <c r="B54" s="93"/>
      <c r="C54" s="162"/>
    </row>
    <row r="55" spans="1:3" ht="15.5">
      <c r="A55" s="187"/>
      <c r="B55" s="93"/>
      <c r="C55" s="162"/>
    </row>
    <row r="56" spans="1:3" ht="15.5">
      <c r="A56" s="187"/>
      <c r="B56" s="93"/>
      <c r="C56" s="162"/>
    </row>
    <row r="57" spans="1:3" ht="15.5">
      <c r="A57" s="187"/>
      <c r="B57" s="93"/>
      <c r="C57" s="162"/>
    </row>
    <row r="58" spans="1:3" ht="15.5">
      <c r="A58" s="187"/>
      <c r="B58" s="93"/>
      <c r="C58" s="162"/>
    </row>
    <row r="59" spans="1:3" ht="15.5">
      <c r="A59" s="187"/>
      <c r="B59" s="93"/>
      <c r="C59" s="162"/>
    </row>
    <row r="60" spans="1:3" ht="15.5">
      <c r="A60" s="187"/>
      <c r="B60" s="93"/>
      <c r="C60" s="162"/>
    </row>
    <row r="61" spans="1:3" ht="15.5">
      <c r="A61" s="187"/>
      <c r="B61" s="93"/>
      <c r="C61" s="162"/>
    </row>
    <row r="62" spans="1:3" ht="15.5">
      <c r="A62" s="187"/>
      <c r="B62" s="93"/>
      <c r="C62" s="162"/>
    </row>
    <row r="63" spans="1:3" ht="15.5">
      <c r="A63" s="187"/>
      <c r="B63" s="93"/>
      <c r="C63" s="162"/>
    </row>
    <row r="64" spans="1:3" ht="15.5">
      <c r="A64" s="187"/>
      <c r="B64" s="93"/>
      <c r="C64" s="162"/>
    </row>
    <row r="65" spans="1:3" ht="15.5">
      <c r="A65" s="187"/>
      <c r="B65" s="93"/>
      <c r="C65" s="162"/>
    </row>
    <row r="66" spans="1:3" ht="15.5">
      <c r="A66" s="187"/>
      <c r="B66" s="93"/>
      <c r="C66" s="162"/>
    </row>
    <row r="67" spans="1:3" ht="15.5">
      <c r="A67" s="187"/>
      <c r="B67" s="93"/>
      <c r="C67" s="162"/>
    </row>
    <row r="68" spans="1:3" ht="15.5">
      <c r="A68" s="187"/>
      <c r="B68" s="93"/>
      <c r="C68" s="162"/>
    </row>
    <row r="69" spans="1:3" ht="15.5">
      <c r="A69" s="187"/>
      <c r="B69" s="93"/>
      <c r="C69" s="162"/>
    </row>
    <row r="70" spans="1:3" ht="15.5">
      <c r="A70" s="187"/>
      <c r="B70" s="93"/>
      <c r="C70" s="162"/>
    </row>
    <row r="71" spans="1:3" ht="15.5">
      <c r="A71" s="187"/>
      <c r="B71" s="93"/>
      <c r="C71" s="162"/>
    </row>
    <row r="72" spans="1:3" ht="15.5">
      <c r="A72" s="187"/>
      <c r="B72" s="93"/>
      <c r="C72" s="162"/>
    </row>
    <row r="73" spans="1:3" ht="15.5">
      <c r="A73" s="187"/>
      <c r="B73" s="93"/>
      <c r="C73" s="162"/>
    </row>
    <row r="74" spans="1:3" ht="15.5">
      <c r="A74" s="187"/>
      <c r="B74" s="93"/>
      <c r="C74" s="162"/>
    </row>
    <row r="75" spans="1:3" ht="15.5">
      <c r="A75" s="187"/>
      <c r="B75" s="93"/>
      <c r="C75" s="162"/>
    </row>
    <row r="76" spans="1:3" ht="15.5">
      <c r="A76" s="187"/>
      <c r="B76" s="93"/>
      <c r="C76" s="162"/>
    </row>
    <row r="77" spans="1:3" ht="15.5">
      <c r="A77" s="187"/>
      <c r="B77" s="93"/>
      <c r="C77" s="162"/>
    </row>
    <row r="78" spans="1:3" ht="15.5">
      <c r="A78" s="187"/>
      <c r="B78" s="93"/>
      <c r="C78" s="162"/>
    </row>
    <row r="79" spans="1:3" ht="15.5">
      <c r="A79" s="187"/>
      <c r="B79" s="93"/>
      <c r="C79" s="162"/>
    </row>
    <row r="80" spans="1:3" ht="15.5">
      <c r="A80" s="187"/>
      <c r="B80" s="93"/>
      <c r="C80" s="162"/>
    </row>
    <row r="81" spans="1:3" ht="15.5">
      <c r="A81" s="187"/>
      <c r="B81" s="93"/>
      <c r="C81" s="162"/>
    </row>
    <row r="82" spans="1:3" ht="15.5">
      <c r="A82" s="187"/>
      <c r="B82" s="93"/>
      <c r="C82" s="162"/>
    </row>
    <row r="83" spans="1:3" ht="15.5">
      <c r="A83" s="187"/>
      <c r="B83" s="93"/>
      <c r="C83" s="162"/>
    </row>
    <row r="84" spans="1:3" ht="15.5">
      <c r="A84" s="187"/>
      <c r="B84" s="93"/>
      <c r="C84" s="162"/>
    </row>
    <row r="85" spans="1:3" ht="15.5">
      <c r="A85" s="187"/>
      <c r="B85" s="93"/>
      <c r="C85" s="162"/>
    </row>
    <row r="86" spans="1:3" ht="15.5">
      <c r="A86" s="187"/>
      <c r="B86" s="93"/>
      <c r="C86" s="162"/>
    </row>
    <row r="87" spans="1:3" ht="15.5">
      <c r="A87" s="297"/>
      <c r="B87" s="93"/>
      <c r="C87" s="162"/>
    </row>
    <row r="88" spans="1:3" ht="15.5">
      <c r="A88" s="297"/>
      <c r="B88" s="93"/>
      <c r="C88" s="162"/>
    </row>
    <row r="89" spans="1:3" ht="15.5">
      <c r="A89" s="297"/>
      <c r="B89" s="93"/>
      <c r="C89" s="162"/>
    </row>
    <row r="90" spans="1:3" ht="15.5">
      <c r="A90" s="297"/>
      <c r="B90" s="93"/>
      <c r="C90" s="162"/>
    </row>
    <row r="91" spans="1:3" ht="15.5">
      <c r="A91" s="297"/>
      <c r="B91" s="93"/>
      <c r="C91" s="162"/>
    </row>
    <row r="92" spans="1:3" ht="15.5">
      <c r="A92" s="297"/>
      <c r="B92" s="93"/>
      <c r="C92" s="162"/>
    </row>
    <row r="93" spans="1:3" ht="15.5">
      <c r="A93" s="297"/>
      <c r="B93" s="93"/>
      <c r="C93" s="162"/>
    </row>
    <row r="94" spans="1:3" ht="15.5">
      <c r="A94" s="297"/>
      <c r="B94" s="93"/>
      <c r="C94" s="162"/>
    </row>
    <row r="95" spans="1:3" ht="15.5">
      <c r="A95" s="297"/>
      <c r="B95" s="93"/>
      <c r="C95" s="162"/>
    </row>
    <row r="96" spans="1:3" ht="15.5">
      <c r="A96" s="297"/>
      <c r="B96" s="93"/>
      <c r="C96" s="162"/>
    </row>
    <row r="97" spans="1:3" ht="15.5">
      <c r="A97" s="297"/>
      <c r="B97" s="93"/>
      <c r="C97" s="162"/>
    </row>
    <row r="98" spans="1:3" ht="15.5">
      <c r="A98" s="297"/>
      <c r="B98" s="93"/>
      <c r="C98" s="162"/>
    </row>
    <row r="99" spans="1:3" ht="15.5">
      <c r="A99" s="297"/>
      <c r="B99" s="93"/>
      <c r="C99" s="162"/>
    </row>
    <row r="100" spans="1:3" ht="15.5">
      <c r="A100" s="297"/>
      <c r="B100" s="93"/>
      <c r="C100" s="162"/>
    </row>
    <row r="101" spans="1:3" ht="15.5">
      <c r="A101" s="297"/>
      <c r="B101" s="93"/>
      <c r="C101" s="162"/>
    </row>
    <row r="102" spans="1:3" ht="15.5">
      <c r="A102" s="297"/>
      <c r="B102" s="93"/>
      <c r="C102" s="162"/>
    </row>
    <row r="103" spans="1:3" ht="15.5">
      <c r="A103" s="297"/>
      <c r="B103" s="93"/>
      <c r="C103" s="162"/>
    </row>
    <row r="104" spans="1:3" ht="15.5">
      <c r="A104" s="297"/>
      <c r="B104" s="93"/>
      <c r="C104" s="162"/>
    </row>
    <row r="105" spans="1:3" ht="15.5">
      <c r="A105" s="297"/>
      <c r="B105" s="93"/>
      <c r="C105" s="162"/>
    </row>
    <row r="106" spans="1:3" ht="15.5">
      <c r="A106" s="297"/>
      <c r="B106" s="93"/>
      <c r="C106" s="162"/>
    </row>
    <row r="107" spans="1:3" ht="15.5">
      <c r="A107" s="297"/>
      <c r="B107" s="93"/>
      <c r="C107" s="162"/>
    </row>
    <row r="108" spans="1:3" ht="15.5">
      <c r="A108" s="297"/>
      <c r="B108" s="93"/>
      <c r="C108" s="162"/>
    </row>
    <row r="109" spans="1:3" ht="15.5">
      <c r="A109" s="297"/>
      <c r="B109" s="93"/>
      <c r="C109" s="162"/>
    </row>
    <row r="110" spans="1:3" ht="15.5">
      <c r="A110" s="297"/>
      <c r="B110" s="93"/>
      <c r="C110" s="162"/>
    </row>
    <row r="111" spans="1:3" ht="15.5">
      <c r="A111" s="297"/>
      <c r="B111" s="93"/>
      <c r="C111" s="162"/>
    </row>
    <row r="112" spans="1:3" ht="15.5">
      <c r="A112" s="297"/>
      <c r="B112" s="93"/>
      <c r="C112" s="162"/>
    </row>
    <row r="113" spans="1:3" ht="15.5">
      <c r="A113" s="297"/>
      <c r="B113" s="93"/>
      <c r="C113" s="162"/>
    </row>
    <row r="114" spans="1:3" ht="15.5">
      <c r="A114" s="297"/>
      <c r="B114" s="93"/>
      <c r="C114" s="162"/>
    </row>
    <row r="115" spans="1:3" ht="15.5">
      <c r="A115" s="297"/>
      <c r="B115" s="93"/>
      <c r="C115" s="162"/>
    </row>
    <row r="116" spans="1:3" ht="15.5">
      <c r="A116" s="297"/>
      <c r="B116" s="93"/>
      <c r="C116" s="162"/>
    </row>
    <row r="117" spans="1:3" ht="15.5">
      <c r="A117" s="297"/>
      <c r="B117" s="93"/>
      <c r="C117" s="162"/>
    </row>
    <row r="118" spans="1:3" ht="15.5">
      <c r="A118" s="297"/>
      <c r="B118" s="93"/>
      <c r="C118" s="162"/>
    </row>
    <row r="119" spans="1:3" ht="15.5">
      <c r="A119" s="297"/>
      <c r="B119" s="93"/>
      <c r="C119" s="162"/>
    </row>
    <row r="120" spans="1:3" ht="15.5">
      <c r="A120" s="297"/>
      <c r="B120" s="93"/>
      <c r="C120" s="162"/>
    </row>
    <row r="121" spans="1:3" ht="15.5">
      <c r="A121" s="297"/>
      <c r="B121" s="93"/>
      <c r="C121" s="162"/>
    </row>
    <row r="122" spans="1:3" ht="15.5">
      <c r="A122" s="297"/>
      <c r="B122" s="93"/>
      <c r="C122" s="162"/>
    </row>
    <row r="123" spans="1:3" ht="15.5">
      <c r="A123" s="297"/>
      <c r="B123" s="93"/>
      <c r="C123" s="162"/>
    </row>
    <row r="124" spans="1:3" ht="15.5">
      <c r="A124" s="297"/>
      <c r="B124" s="93"/>
      <c r="C124" s="162"/>
    </row>
    <row r="125" spans="1:3" ht="15.5">
      <c r="A125" s="297"/>
      <c r="B125" s="93"/>
      <c r="C125" s="162"/>
    </row>
    <row r="126" spans="1:3" ht="15.5">
      <c r="A126" s="297"/>
      <c r="B126" s="93"/>
      <c r="C126" s="162"/>
    </row>
    <row r="127" spans="1:3" ht="15.5">
      <c r="A127" s="297"/>
      <c r="B127" s="93"/>
      <c r="C127" s="162"/>
    </row>
    <row r="128" spans="1:3" ht="15.5">
      <c r="A128" s="297"/>
      <c r="B128" s="93"/>
      <c r="C128" s="162"/>
    </row>
    <row r="129" spans="1:3" ht="15.5">
      <c r="A129" s="297"/>
      <c r="B129" s="93"/>
      <c r="C129" s="162"/>
    </row>
    <row r="130" spans="1:3" ht="15.5">
      <c r="A130" s="297"/>
      <c r="B130" s="93"/>
      <c r="C130" s="162"/>
    </row>
    <row r="131" spans="1:3" ht="15.5">
      <c r="A131" s="297"/>
      <c r="B131" s="93"/>
      <c r="C131" s="162"/>
    </row>
    <row r="132" spans="1:3" ht="15.5">
      <c r="A132" s="297"/>
      <c r="B132" s="93"/>
      <c r="C132" s="162"/>
    </row>
    <row r="133" spans="1:3" ht="15.5">
      <c r="A133" s="297"/>
      <c r="B133" s="93"/>
      <c r="C133" s="162"/>
    </row>
    <row r="134" spans="1:3" ht="15.5">
      <c r="A134" s="297"/>
      <c r="B134" s="93"/>
      <c r="C134" s="162"/>
    </row>
    <row r="135" spans="1:3" ht="15.5">
      <c r="A135" s="297"/>
      <c r="B135" s="93"/>
      <c r="C135" s="162"/>
    </row>
    <row r="136" spans="1:3" ht="15.5">
      <c r="A136" s="297"/>
      <c r="B136" s="93"/>
      <c r="C136" s="162"/>
    </row>
    <row r="137" spans="1:3" ht="15.5">
      <c r="A137" s="297"/>
      <c r="B137" s="93"/>
      <c r="C137" s="93"/>
    </row>
    <row r="138" spans="1:3" ht="15.5">
      <c r="A138" s="297"/>
      <c r="B138" s="93"/>
      <c r="C138" s="93"/>
    </row>
  </sheetData>
  <pageMargins left="0.7" right="0.7" top="0.75" bottom="0.75" header="0.3" footer="0.3"/>
  <pageSetup orientation="portrait"/>
  <customProperties>
    <customPr name="MMSheetType" r:id="rId1"/>
  </customPropertie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196095-D37B-41CB-912F-23D2E7EEB72D}">
  <dimension ref="A1"/>
  <sheetViews>
    <sheetView workbookViewId="0"/>
  </sheetViews>
  <sheetFormatPr defaultRowHeight="10"/>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outlinePr summaryBelow="0" summaryRight="0"/>
  </sheetPr>
  <dimension ref="A1:D145"/>
  <sheetViews>
    <sheetView showGridLines="0" zoomScale="90" workbookViewId="0">
      <selection activeCell="B32" sqref="B32"/>
    </sheetView>
  </sheetViews>
  <sheetFormatPr defaultColWidth="0" defaultRowHeight="10" zeroHeight="1"/>
  <cols>
    <col min="1" max="1" width="30.77734375" customWidth="1"/>
    <col min="2" max="2" width="20.44140625" customWidth="1"/>
    <col min="3" max="3" width="139.44140625" customWidth="1"/>
    <col min="4" max="4" width="8.77734375" customWidth="1"/>
    <col min="5" max="13" width="8.77734375" hidden="1" customWidth="1"/>
    <col min="14" max="16384" width="8.77734375" hidden="1"/>
  </cols>
  <sheetData>
    <row r="1" spans="1:3"/>
    <row r="2" spans="1:3"/>
    <row r="3" spans="1:3"/>
    <row r="4" spans="1:3"/>
    <row r="5" spans="1:3"/>
    <row r="6" spans="1:3"/>
    <row r="7" spans="1:3"/>
    <row r="8" spans="1:3"/>
    <row r="9" spans="1:3" ht="17.5">
      <c r="A9" s="239" t="s">
        <v>53</v>
      </c>
      <c r="B9" s="74"/>
      <c r="C9" s="74"/>
    </row>
    <row r="10" spans="1:3" ht="10.5">
      <c r="A10" s="74"/>
      <c r="B10" s="74"/>
      <c r="C10" s="74"/>
    </row>
    <row r="11" spans="1:3" ht="10.5">
      <c r="A11" s="74"/>
      <c r="B11" s="74"/>
      <c r="C11" s="74"/>
    </row>
    <row r="12" spans="1:3" ht="15.5">
      <c r="A12" s="205" t="s">
        <v>140</v>
      </c>
      <c r="B12" s="156">
        <v>14000</v>
      </c>
      <c r="C12" s="156">
        <v>14000</v>
      </c>
    </row>
    <row r="13" spans="1:3" ht="15.5">
      <c r="A13" s="205" t="s">
        <v>54</v>
      </c>
      <c r="B13" s="208">
        <v>0.2</v>
      </c>
      <c r="C13" s="208">
        <v>0.2</v>
      </c>
    </row>
    <row r="14" spans="1:3" ht="15.5">
      <c r="A14" s="205" t="s">
        <v>141</v>
      </c>
      <c r="B14" s="159">
        <v>14000</v>
      </c>
      <c r="C14" s="159">
        <v>14000</v>
      </c>
    </row>
    <row r="15" spans="1:3" ht="15.5">
      <c r="A15" s="205" t="s">
        <v>176</v>
      </c>
      <c r="B15" s="188">
        <v>40179</v>
      </c>
      <c r="C15" s="188">
        <v>40179</v>
      </c>
    </row>
    <row r="16" spans="1:3" ht="15.5">
      <c r="A16" s="205"/>
      <c r="B16" s="74"/>
      <c r="C16" s="74"/>
    </row>
    <row r="17" spans="1:3" ht="15.5">
      <c r="A17" s="205" t="s">
        <v>175</v>
      </c>
      <c r="B17" s="177">
        <v>0</v>
      </c>
      <c r="C17" s="177">
        <v>0</v>
      </c>
    </row>
    <row r="18" spans="1:3" ht="15.5">
      <c r="A18" s="205" t="s">
        <v>105</v>
      </c>
      <c r="B18" s="2">
        <v>0</v>
      </c>
      <c r="C18" s="2">
        <v>0</v>
      </c>
    </row>
    <row r="19" spans="1:3" ht="15.5">
      <c r="A19" s="205" t="s">
        <v>0</v>
      </c>
      <c r="B19" s="15">
        <v>0.2</v>
      </c>
      <c r="C19" s="15">
        <v>0.2</v>
      </c>
    </row>
    <row r="20" spans="1:3" ht="15.5">
      <c r="A20" s="205" t="s">
        <v>86</v>
      </c>
      <c r="B20" s="31">
        <v>42095</v>
      </c>
      <c r="C20" s="31">
        <v>42095</v>
      </c>
    </row>
    <row r="21" spans="1:3" ht="15.5">
      <c r="A21" s="205"/>
      <c r="B21" s="74"/>
      <c r="C21" s="74"/>
    </row>
    <row r="22" spans="1:3" ht="15.5">
      <c r="A22" s="205" t="s">
        <v>162</v>
      </c>
      <c r="B22" s="11">
        <v>0</v>
      </c>
      <c r="C22" s="11">
        <v>0</v>
      </c>
    </row>
    <row r="23" spans="1:3" ht="15.5">
      <c r="A23" s="205" t="s">
        <v>150</v>
      </c>
      <c r="B23" s="176">
        <v>0</v>
      </c>
      <c r="C23" s="176">
        <v>0</v>
      </c>
    </row>
    <row r="24" spans="1:3" ht="15.5">
      <c r="A24" s="205" t="s">
        <v>69</v>
      </c>
      <c r="B24" s="210">
        <v>0</v>
      </c>
      <c r="C24" s="210">
        <v>0</v>
      </c>
    </row>
    <row r="25" spans="1:3" ht="13">
      <c r="A25" s="234" t="s">
        <v>12</v>
      </c>
      <c r="B25" s="178">
        <v>41455</v>
      </c>
      <c r="C25" s="178">
        <v>41455</v>
      </c>
    </row>
    <row r="26" spans="1:3" ht="11" thickBot="1">
      <c r="A26" s="74"/>
      <c r="B26" s="74"/>
      <c r="C26" s="74"/>
    </row>
    <row r="27" spans="1:3" ht="16" thickBot="1">
      <c r="A27" s="205" t="s">
        <v>2</v>
      </c>
      <c r="B27" s="283"/>
    </row>
    <row r="28" spans="1:3" ht="10.5" thickBot="1"/>
    <row r="29" spans="1:3" ht="10.5" thickBot="1">
      <c r="A29" t="s">
        <v>14</v>
      </c>
      <c r="B29" s="246"/>
    </row>
    <row r="30" spans="1:3" ht="10.5" thickTop="1"/>
    <row r="31" spans="1:3"/>
    <row r="32" spans="1:3">
      <c r="A32" t="s">
        <v>91</v>
      </c>
      <c r="B32" s="269" t="s">
        <v>166</v>
      </c>
    </row>
    <row r="33" customFormat="1"/>
    <row r="34" customFormat="1"/>
    <row r="35" customFormat="1"/>
    <row r="36" customFormat="1"/>
    <row r="37" customFormat="1"/>
    <row r="38" customFormat="1"/>
    <row r="39" customFormat="1"/>
    <row r="40" customFormat="1"/>
    <row r="41" customFormat="1"/>
    <row r="42" customFormat="1"/>
    <row r="43" customFormat="1"/>
    <row r="44" customFormat="1" hidden="1"/>
    <row r="45" customFormat="1" hidden="1"/>
    <row r="46" customFormat="1" hidden="1"/>
    <row r="47" customFormat="1" hidden="1"/>
    <row r="48" customFormat="1" hidden="1"/>
    <row r="49" customFormat="1" hidden="1"/>
    <row r="50" customFormat="1" hidden="1"/>
    <row r="51" customFormat="1" hidden="1"/>
    <row r="52" customFormat="1" hidden="1"/>
    <row r="53" customFormat="1" hidden="1"/>
    <row r="54" customFormat="1" hidden="1"/>
    <row r="55" customFormat="1" hidden="1"/>
    <row r="56" customFormat="1" hidden="1"/>
    <row r="57" customFormat="1" hidden="1"/>
    <row r="58" customFormat="1" hidden="1"/>
    <row r="59" customFormat="1" hidden="1"/>
    <row r="60" customFormat="1" hidden="1"/>
    <row r="61" customFormat="1" hidden="1"/>
    <row r="62" customFormat="1" hidden="1"/>
    <row r="63" customFormat="1" hidden="1"/>
    <row r="64" customFormat="1" hidden="1"/>
    <row r="65" customFormat="1" hidden="1"/>
    <row r="66" customFormat="1" hidden="1"/>
    <row r="67" customFormat="1" hidden="1"/>
    <row r="68" customFormat="1" hidden="1"/>
    <row r="69" customFormat="1" hidden="1"/>
    <row r="70" customFormat="1" hidden="1"/>
    <row r="71" customFormat="1" hidden="1"/>
    <row r="72" customFormat="1" hidden="1"/>
    <row r="73" customFormat="1" hidden="1"/>
    <row r="74" customFormat="1" hidden="1"/>
    <row r="75" customFormat="1" hidden="1"/>
    <row r="76" customFormat="1" hidden="1"/>
    <row r="77" customFormat="1" hidden="1"/>
    <row r="78" customFormat="1" hidden="1"/>
    <row r="79" customFormat="1" hidden="1"/>
    <row r="80" customFormat="1" hidden="1"/>
    <row r="81" customFormat="1" hidden="1"/>
    <row r="82" customFormat="1" hidden="1"/>
    <row r="83" customFormat="1" hidden="1"/>
    <row r="84" customFormat="1" hidden="1"/>
    <row r="85" customFormat="1" hidden="1"/>
    <row r="86" customFormat="1" hidden="1"/>
    <row r="87" customFormat="1" hidden="1"/>
    <row r="88" customFormat="1" hidden="1"/>
    <row r="89" customFormat="1" hidden="1"/>
    <row r="90" customFormat="1" hidden="1"/>
    <row r="91" customFormat="1" hidden="1"/>
    <row r="92" customFormat="1" hidden="1"/>
    <row r="93" customFormat="1" hidden="1"/>
    <row r="94" customFormat="1" hidden="1"/>
    <row r="95" customFormat="1" hidden="1"/>
    <row r="96" customFormat="1" hidden="1"/>
    <row r="97" customFormat="1" hidden="1"/>
    <row r="98" customFormat="1" hidden="1"/>
    <row r="99" customFormat="1" hidden="1"/>
    <row r="100" customFormat="1" hidden="1"/>
    <row r="101" customFormat="1" hidden="1"/>
    <row r="102" customFormat="1" hidden="1"/>
    <row r="103" customFormat="1" hidden="1"/>
    <row r="104" customFormat="1" hidden="1"/>
    <row r="105" customFormat="1" hidden="1"/>
    <row r="106" customFormat="1" hidden="1"/>
    <row r="107" customFormat="1" hidden="1"/>
    <row r="108" customFormat="1" hidden="1"/>
    <row r="109" customFormat="1" hidden="1"/>
    <row r="110" customFormat="1" hidden="1"/>
    <row r="111" customFormat="1" hidden="1"/>
    <row r="112" customFormat="1" hidden="1"/>
    <row r="113" customFormat="1" hidden="1"/>
    <row r="114" customFormat="1" hidden="1"/>
    <row r="115" customFormat="1" hidden="1"/>
    <row r="116" customFormat="1" hidden="1"/>
    <row r="117" customFormat="1" hidden="1"/>
    <row r="118" customFormat="1" hidden="1"/>
    <row r="119" customFormat="1" hidden="1"/>
    <row r="120" customFormat="1" hidden="1"/>
    <row r="121" customFormat="1" hidden="1"/>
    <row r="122" customFormat="1" hidden="1"/>
    <row r="123" customFormat="1" hidden="1"/>
    <row r="124" customFormat="1" hidden="1"/>
    <row r="125" customFormat="1" hidden="1"/>
    <row r="126" customFormat="1" hidden="1"/>
    <row r="127" customFormat="1" hidden="1"/>
    <row r="128" customFormat="1" hidden="1"/>
    <row r="129" customFormat="1" hidden="1"/>
    <row r="130" customFormat="1" hidden="1"/>
    <row r="131" customFormat="1" hidden="1"/>
    <row r="132" customFormat="1" hidden="1"/>
    <row r="133" customFormat="1" hidden="1"/>
    <row r="134" customFormat="1" hidden="1"/>
    <row r="135" customFormat="1" hidden="1"/>
    <row r="136" customFormat="1" hidden="1"/>
    <row r="137" customFormat="1" hidden="1"/>
    <row r="138" customFormat="1" hidden="1"/>
    <row r="139" customFormat="1" hidden="1"/>
    <row r="140" customFormat="1" hidden="1"/>
    <row r="141" customFormat="1" hidden="1"/>
    <row r="142" customFormat="1" hidden="1"/>
    <row r="143" customFormat="1" hidden="1"/>
    <row r="144" customFormat="1" hidden="1"/>
    <row r="145" customFormat="1" hidden="1"/>
  </sheetData>
  <pageMargins left="0.7" right="0.7" top="0.75" bottom="0.75" header="0.3" footer="0.3"/>
  <pageSetup paperSize="9" orientation="portrait"/>
  <customProperties>
    <customPr name="MMSheetType" r:id="rId1"/>
  </customPropertie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FF99"/>
    <outlinePr summaryBelow="0" summaryRight="0"/>
  </sheetPr>
  <dimension ref="A1:W31"/>
  <sheetViews>
    <sheetView showGridLines="0" defaultGridColor="0" colorId="22" zoomScale="80" workbookViewId="0">
      <pane xSplit="10" ySplit="9" topLeftCell="K10" activePane="bottomRight" state="frozen"/>
      <selection pane="topRight" activeCell="K1" sqref="K1"/>
      <selection pane="bottomLeft" activeCell="A10" sqref="A10"/>
      <selection pane="bottomRight" activeCell="D1" sqref="D1:D1048576"/>
    </sheetView>
  </sheetViews>
  <sheetFormatPr defaultColWidth="0" defaultRowHeight="14.5"/>
  <cols>
    <col min="1" max="1" width="1.77734375" style="257" customWidth="1"/>
    <col min="2" max="3" width="1.77734375" style="194" customWidth="1"/>
    <col min="4" max="4" width="1.77734375" style="254" customWidth="1"/>
    <col min="5" max="5" width="72.33203125" style="194" bestFit="1" customWidth="1"/>
    <col min="6" max="6" width="19.33203125" style="194" customWidth="1"/>
    <col min="7" max="8" width="47.33203125" style="100" customWidth="1"/>
    <col min="9" max="9" width="5.109375" style="282" customWidth="1"/>
    <col min="10" max="10" width="1.44140625" style="200" customWidth="1"/>
    <col min="11" max="13" width="19.33203125" style="100" customWidth="1"/>
    <col min="14" max="14" width="1.44140625" style="200" customWidth="1"/>
    <col min="15" max="18" width="14.77734375" style="100" bestFit="1" customWidth="1"/>
    <col min="19" max="24" width="11.44140625" style="100" hidden="1" customWidth="1"/>
    <col min="25" max="16384" width="11.44140625" style="100" hidden="1"/>
  </cols>
  <sheetData>
    <row r="1" spans="1:23" ht="25">
      <c r="A1" s="46" t="str">
        <f ca="1">RIGHT(CELL("filename", A1), LEN(CELL("filename", A1)) - SEARCH("]", CELL("filename", A1)))</f>
        <v>InpC</v>
      </c>
      <c r="B1" s="80"/>
      <c r="C1" s="153"/>
      <c r="D1" s="147"/>
      <c r="E1" s="54"/>
      <c r="F1" s="49" t="str">
        <f>HYPERLINK("#Contents!A1","Go to contents")</f>
        <v>Go to contents</v>
      </c>
      <c r="G1" s="54"/>
      <c r="H1" s="54"/>
      <c r="I1" s="54"/>
      <c r="J1" s="116"/>
      <c r="K1" s="54"/>
      <c r="L1" s="54"/>
      <c r="M1" s="54"/>
      <c r="N1" s="116"/>
    </row>
    <row r="2" spans="1:23" ht="36.75" customHeight="1">
      <c r="A2" s="4"/>
      <c r="B2" s="4"/>
      <c r="C2" s="240"/>
      <c r="D2" s="233"/>
      <c r="E2" s="117"/>
      <c r="F2" s="117"/>
      <c r="G2" s="117"/>
      <c r="H2" s="117"/>
      <c r="I2" s="80"/>
      <c r="J2" s="191"/>
      <c r="K2" s="145" t="str">
        <f>IF(K3 = $F3, "q", "")</f>
        <v>q</v>
      </c>
      <c r="L2" s="145" t="str">
        <f>IF(L3 = $F3, "q", "")</f>
        <v/>
      </c>
      <c r="M2" s="145" t="str">
        <f>IF(M3 = $F3, "q", "")</f>
        <v/>
      </c>
      <c r="N2" s="191"/>
    </row>
    <row r="3" spans="1:23" ht="14.25" customHeight="1">
      <c r="A3" s="80"/>
      <c r="B3" s="80"/>
      <c r="C3" s="153"/>
      <c r="D3" s="147"/>
      <c r="E3" s="4"/>
      <c r="F3" s="256" t="str">
        <f>INDEX(J3:S3,MATCH(F4,J4:S4,0))</f>
        <v>Base case 1</v>
      </c>
      <c r="G3" s="265"/>
      <c r="H3" s="4"/>
      <c r="I3" s="54"/>
      <c r="J3" s="213"/>
      <c r="K3" s="89" t="s">
        <v>120</v>
      </c>
      <c r="L3" s="89" t="s">
        <v>164</v>
      </c>
      <c r="M3" s="89" t="s">
        <v>34</v>
      </c>
      <c r="N3" s="213"/>
      <c r="O3" s="89" t="s">
        <v>163</v>
      </c>
      <c r="P3" s="89" t="s">
        <v>24</v>
      </c>
      <c r="Q3" s="89" t="s">
        <v>71</v>
      </c>
      <c r="R3" s="89" t="s">
        <v>121</v>
      </c>
    </row>
    <row r="4" spans="1:23">
      <c r="A4" s="172"/>
      <c r="B4" s="172"/>
      <c r="C4" s="244"/>
      <c r="D4" s="260"/>
      <c r="E4" s="8" t="s">
        <v>57</v>
      </c>
      <c r="F4" s="248">
        <v>1</v>
      </c>
      <c r="G4" s="8"/>
      <c r="H4" s="8"/>
      <c r="I4" s="221">
        <f>MATCH(F4, $J$4:$S$4, 0)</f>
        <v>2</v>
      </c>
      <c r="J4" s="101"/>
      <c r="K4" s="73">
        <v>1</v>
      </c>
      <c r="L4" s="73">
        <v>2</v>
      </c>
      <c r="M4" s="73">
        <v>3</v>
      </c>
      <c r="N4" s="101"/>
      <c r="O4" s="120">
        <v>4</v>
      </c>
      <c r="P4" s="120">
        <v>5</v>
      </c>
      <c r="Q4" s="120">
        <v>6</v>
      </c>
      <c r="R4" s="120">
        <v>7</v>
      </c>
    </row>
    <row r="5" spans="1:23">
      <c r="A5" s="172"/>
      <c r="B5" s="172"/>
      <c r="C5" s="244"/>
      <c r="D5" s="260"/>
      <c r="E5" s="8" t="s">
        <v>70</v>
      </c>
      <c r="F5" s="229">
        <v>1</v>
      </c>
      <c r="G5" s="8"/>
      <c r="H5" s="8"/>
      <c r="I5" s="221">
        <f>MATCH(F5, $J$4:$S$4, 0)</f>
        <v>2</v>
      </c>
      <c r="J5" s="101"/>
      <c r="K5" s="8"/>
      <c r="L5" s="8"/>
      <c r="M5" s="8"/>
      <c r="N5" s="101"/>
      <c r="O5" s="8"/>
      <c r="P5" s="8"/>
      <c r="Q5" s="8"/>
      <c r="R5" s="8"/>
    </row>
    <row r="6" spans="1:23">
      <c r="A6" s="172"/>
      <c r="B6" s="172"/>
      <c r="C6" s="244"/>
      <c r="D6" s="260"/>
      <c r="E6" s="8" t="s">
        <v>89</v>
      </c>
      <c r="F6" s="236">
        <f>INDEX(J6:S6,MATCH(F4,J4:S4,0))</f>
        <v>1</v>
      </c>
      <c r="G6" s="8"/>
      <c r="H6" s="8"/>
      <c r="I6" s="221">
        <f>MATCH(F6, $J$4:$S$4, 0)</f>
        <v>2</v>
      </c>
      <c r="J6" s="101"/>
      <c r="K6" s="73">
        <v>1</v>
      </c>
      <c r="L6" s="73">
        <v>2</v>
      </c>
      <c r="M6" s="73">
        <v>3</v>
      </c>
      <c r="N6" s="101"/>
      <c r="O6" s="73">
        <v>1</v>
      </c>
      <c r="P6" s="73">
        <v>1</v>
      </c>
      <c r="Q6" s="73">
        <v>2</v>
      </c>
      <c r="R6" s="73">
        <v>2</v>
      </c>
    </row>
    <row r="7" spans="1:23">
      <c r="A7" s="80"/>
      <c r="B7" s="80"/>
      <c r="C7" s="153"/>
      <c r="D7" s="147"/>
      <c r="E7" s="8" t="s">
        <v>33</v>
      </c>
      <c r="F7" s="274">
        <f>COUNTIF( $I$13:$I$33, "tu" )</f>
        <v>0</v>
      </c>
      <c r="G7" s="8"/>
      <c r="H7" s="8"/>
      <c r="J7" s="101"/>
      <c r="K7" s="151" t="str">
        <f>IF(K6 = $F$5, "Base case", "")</f>
        <v>Base case</v>
      </c>
      <c r="L7" s="151" t="str">
        <f>IF(L6 = $F$5, "Base case", "")</f>
        <v/>
      </c>
      <c r="M7" s="151" t="str">
        <f>IF(M6 = $F$5, "Base case", "")</f>
        <v/>
      </c>
      <c r="N7" s="101"/>
      <c r="O7" s="8"/>
      <c r="P7" s="8"/>
      <c r="Q7" s="8"/>
      <c r="R7" s="8"/>
    </row>
    <row r="8" spans="1:23">
      <c r="A8" s="80"/>
      <c r="B8" s="80"/>
      <c r="C8" s="153"/>
      <c r="D8" s="147"/>
      <c r="E8" s="100"/>
      <c r="F8" s="100"/>
      <c r="I8" s="243"/>
      <c r="J8" s="116"/>
      <c r="K8" s="54"/>
      <c r="L8" s="54"/>
      <c r="M8" s="54"/>
      <c r="N8" s="116"/>
    </row>
    <row r="9" spans="1:23">
      <c r="A9" s="80"/>
      <c r="B9" s="80"/>
      <c r="C9" s="153"/>
      <c r="D9" s="147"/>
      <c r="E9" s="54"/>
      <c r="F9" s="80" t="s">
        <v>129</v>
      </c>
      <c r="G9" s="80" t="s">
        <v>118</v>
      </c>
      <c r="H9" s="80" t="s">
        <v>41</v>
      </c>
      <c r="I9" s="258"/>
      <c r="J9" s="116"/>
      <c r="K9" s="54"/>
      <c r="L9" s="54"/>
      <c r="M9" s="54"/>
      <c r="N9" s="116"/>
    </row>
    <row r="10" spans="1:23">
      <c r="A10" s="80"/>
      <c r="B10" s="80"/>
      <c r="C10" s="153"/>
      <c r="D10" s="147"/>
      <c r="E10" s="54"/>
      <c r="F10" s="80"/>
      <c r="G10" s="80"/>
      <c r="H10" s="80"/>
      <c r="I10" s="258"/>
      <c r="J10" s="116"/>
      <c r="K10" s="54"/>
      <c r="L10" s="54"/>
      <c r="M10" s="54"/>
      <c r="N10" s="116"/>
    </row>
    <row r="11" spans="1:23">
      <c r="A11" s="80"/>
      <c r="B11" s="80"/>
      <c r="C11" s="153"/>
      <c r="D11" s="147"/>
      <c r="E11" s="54"/>
      <c r="F11" s="80"/>
      <c r="G11" s="80"/>
      <c r="H11" s="80"/>
      <c r="I11" s="258"/>
      <c r="J11" s="116"/>
      <c r="K11" s="54"/>
      <c r="L11" s="54"/>
      <c r="M11" s="54"/>
      <c r="N11" s="116"/>
    </row>
    <row r="12" spans="1:23">
      <c r="A12" s="80"/>
      <c r="B12" s="80"/>
      <c r="C12" s="153"/>
      <c r="D12" s="147"/>
      <c r="E12" s="174" t="s">
        <v>167</v>
      </c>
      <c r="F12" s="290">
        <f t="shared" ref="F12:F15" si="0">IF(INDEX(J12:X12,$I$4)="",INDEX(J12:X12,$I$6),INDEX(J12:X12,$I$4))</f>
        <v>45170</v>
      </c>
      <c r="G12" s="174" t="s">
        <v>109</v>
      </c>
      <c r="H12" s="262"/>
      <c r="I12" s="258" t="str">
        <f>IF( INDEX(J12:S12, I$5) = "", IF( INDEX(J12:S12, I$4) = F12, "vw", "tu"), IF(INDEX(J12:S12, I$5) = F12, "vw", "tu"))</f>
        <v>vw</v>
      </c>
      <c r="J12" s="204"/>
      <c r="K12" s="88">
        <v>45170</v>
      </c>
      <c r="L12" s="88">
        <v>45170</v>
      </c>
      <c r="M12" s="88">
        <v>45170</v>
      </c>
      <c r="N12" s="204"/>
      <c r="O12" s="88">
        <v>45170</v>
      </c>
      <c r="P12" s="88">
        <v>45170</v>
      </c>
      <c r="Q12" s="88">
        <v>45170</v>
      </c>
      <c r="R12" s="88">
        <v>45170</v>
      </c>
      <c r="T12" s="115"/>
      <c r="U12" s="115"/>
      <c r="V12" s="115"/>
      <c r="W12" s="115"/>
    </row>
    <row r="13" spans="1:23">
      <c r="A13" s="80"/>
      <c r="B13" s="80"/>
      <c r="C13" s="153"/>
      <c r="D13" s="147"/>
      <c r="E13" s="54" t="s">
        <v>75</v>
      </c>
      <c r="F13" s="160">
        <f t="shared" si="0"/>
        <v>8</v>
      </c>
      <c r="G13" s="54" t="s">
        <v>132</v>
      </c>
      <c r="H13" s="54"/>
      <c r="I13" s="118" t="str">
        <f>IF( INDEX(J13:S13, I$5) = "", IF( INDEX(J13:S13, I$4) = F13, "vw", "tu"), IF(INDEX(J13:S13, I$5) = F13, "vw", "tu"))</f>
        <v>vw</v>
      </c>
      <c r="J13" s="116"/>
      <c r="K13" s="19">
        <v>8</v>
      </c>
      <c r="L13" s="19">
        <v>8</v>
      </c>
      <c r="M13" s="19">
        <v>8</v>
      </c>
      <c r="N13" s="116"/>
      <c r="O13" s="19">
        <v>8</v>
      </c>
      <c r="P13" s="19">
        <v>8</v>
      </c>
      <c r="Q13" s="19">
        <v>8</v>
      </c>
      <c r="R13" s="19">
        <v>8</v>
      </c>
    </row>
    <row r="14" spans="1:23">
      <c r="A14" s="80"/>
      <c r="B14" s="80"/>
      <c r="C14" s="153"/>
      <c r="D14" s="147"/>
      <c r="E14" s="144" t="s">
        <v>99</v>
      </c>
      <c r="F14" s="131">
        <f t="shared" si="0"/>
        <v>12</v>
      </c>
      <c r="G14" s="144" t="s">
        <v>35</v>
      </c>
      <c r="H14" s="144"/>
      <c r="I14" s="118" t="str">
        <f>IF( INDEX(J14:S14, I$5) = "", IF( INDEX(J14:S14, I$4) = F14, "vw", "tu"), IF(INDEX(J14:S14, I$5) = F14, "vw", "tu"))</f>
        <v>vw</v>
      </c>
      <c r="J14" s="157"/>
      <c r="K14" s="36">
        <v>12</v>
      </c>
      <c r="L14" s="36">
        <v>12</v>
      </c>
      <c r="M14" s="36">
        <v>12</v>
      </c>
      <c r="N14" s="157"/>
      <c r="O14" s="36">
        <v>12</v>
      </c>
      <c r="P14" s="36">
        <v>12</v>
      </c>
      <c r="Q14" s="36">
        <v>12</v>
      </c>
      <c r="R14" s="36">
        <v>12</v>
      </c>
      <c r="T14" s="19">
        <v>8</v>
      </c>
      <c r="U14" s="19">
        <v>8</v>
      </c>
      <c r="V14" s="19">
        <v>8</v>
      </c>
      <c r="W14" s="19">
        <v>8</v>
      </c>
    </row>
    <row r="15" spans="1:23">
      <c r="E15" s="99" t="s">
        <v>110</v>
      </c>
      <c r="F15" s="131">
        <f t="shared" si="0"/>
        <v>1</v>
      </c>
      <c r="G15" s="99" t="s">
        <v>35</v>
      </c>
      <c r="H15" s="138"/>
      <c r="I15" s="118" t="str">
        <f>IF( INDEX(J15:S15, I$5) = "", IF( INDEX(J15:S15, I$4) = F15, "vw", "tu"), IF(INDEX(J15:S15, I$5) = F15, "vw", "tu"))</f>
        <v>vw</v>
      </c>
      <c r="J15" s="95"/>
      <c r="K15" s="36">
        <v>1</v>
      </c>
      <c r="L15" s="36">
        <v>1</v>
      </c>
      <c r="M15" s="36">
        <v>1</v>
      </c>
      <c r="N15" s="95"/>
      <c r="O15" s="36">
        <v>1</v>
      </c>
      <c r="P15" s="36">
        <v>1</v>
      </c>
      <c r="Q15" s="36">
        <v>1</v>
      </c>
      <c r="R15" s="36">
        <v>1</v>
      </c>
      <c r="T15" s="19">
        <v>8</v>
      </c>
      <c r="U15" s="19">
        <v>8</v>
      </c>
      <c r="V15" s="19">
        <v>8</v>
      </c>
      <c r="W15" s="19">
        <v>8</v>
      </c>
    </row>
    <row r="17" spans="1:23">
      <c r="A17" s="257" t="s">
        <v>15</v>
      </c>
    </row>
    <row r="19" spans="1:23">
      <c r="B19" s="185" t="s">
        <v>46</v>
      </c>
    </row>
    <row r="20" spans="1:23">
      <c r="E20" s="99" t="s">
        <v>60</v>
      </c>
      <c r="F20" s="131">
        <f t="shared" ref="F20:F25" si="1">IF(INDEX(J20:X20,$I$4)="",INDEX(J20:X20,$I$6),INDEX(J20:X20,$I$4))</f>
        <v>400</v>
      </c>
      <c r="G20" s="99" t="s">
        <v>59</v>
      </c>
      <c r="H20" s="138"/>
      <c r="I20" s="118" t="str">
        <f>IF( INDEX(J20:S20, I$5) = "", IF( INDEX(J20:S20, I$4) = F20, "vw", "tu"), IF(INDEX(J20:S20, I$5) = F20, "vw", "tu"))</f>
        <v>vw</v>
      </c>
      <c r="J20" s="95"/>
      <c r="K20" s="36">
        <v>400</v>
      </c>
      <c r="L20" s="36">
        <v>0</v>
      </c>
      <c r="M20" s="36">
        <v>0</v>
      </c>
      <c r="N20" s="95"/>
      <c r="O20" s="36">
        <v>0</v>
      </c>
      <c r="P20" s="36">
        <v>0</v>
      </c>
      <c r="Q20" s="36">
        <v>0</v>
      </c>
      <c r="R20" s="36">
        <v>0</v>
      </c>
      <c r="T20" s="19">
        <v>8</v>
      </c>
      <c r="U20" s="19">
        <v>8</v>
      </c>
      <c r="V20" s="19">
        <v>8</v>
      </c>
      <c r="W20" s="19">
        <v>8</v>
      </c>
    </row>
    <row r="21" spans="1:23">
      <c r="E21" s="99" t="s">
        <v>143</v>
      </c>
      <c r="F21" s="131">
        <f t="shared" si="1"/>
        <v>100</v>
      </c>
      <c r="G21" s="99" t="s">
        <v>59</v>
      </c>
      <c r="H21" s="138"/>
      <c r="I21" s="118" t="str">
        <f>IF( INDEX(J21:S21, I$5) = "", IF( INDEX(J21:S21, I$4) = F21, "vw", "tu"), IF(INDEX(J21:S21, I$5) = F21, "vw", "tu"))</f>
        <v>vw</v>
      </c>
      <c r="J21" s="95"/>
      <c r="K21" s="36">
        <v>100</v>
      </c>
      <c r="L21" s="36">
        <v>0</v>
      </c>
      <c r="M21" s="36">
        <v>0</v>
      </c>
      <c r="N21" s="95"/>
      <c r="O21" s="36">
        <v>0</v>
      </c>
      <c r="P21" s="36">
        <v>0</v>
      </c>
      <c r="Q21" s="36">
        <v>0</v>
      </c>
      <c r="R21" s="36">
        <v>0</v>
      </c>
      <c r="T21" s="19">
        <v>8</v>
      </c>
      <c r="U21" s="19">
        <v>8</v>
      </c>
      <c r="V21" s="19">
        <v>8</v>
      </c>
      <c r="W21" s="19">
        <v>8</v>
      </c>
    </row>
    <row r="22" spans="1:23">
      <c r="E22" s="99" t="s">
        <v>61</v>
      </c>
      <c r="F22" s="131">
        <f t="shared" si="1"/>
        <v>500</v>
      </c>
      <c r="G22" s="99" t="s">
        <v>59</v>
      </c>
      <c r="H22" s="138"/>
      <c r="I22" s="118" t="str">
        <f>IF( INDEX(J22:S22, I$5) = "", IF( INDEX(J22:S22, I$4) = F22, "vw", "tu"), IF(INDEX(J22:S22, I$5) = F22, "vw", "tu"))</f>
        <v>vw</v>
      </c>
      <c r="J22" s="95"/>
      <c r="K22" s="36">
        <v>500</v>
      </c>
      <c r="L22" s="36">
        <v>0</v>
      </c>
      <c r="M22" s="36">
        <v>0</v>
      </c>
      <c r="N22" s="95"/>
      <c r="O22" s="36">
        <v>0</v>
      </c>
      <c r="P22" s="36">
        <v>0</v>
      </c>
      <c r="Q22" s="36">
        <v>0</v>
      </c>
      <c r="R22" s="36">
        <v>0</v>
      </c>
      <c r="T22" s="19">
        <v>8</v>
      </c>
      <c r="U22" s="19">
        <v>8</v>
      </c>
      <c r="V22" s="19">
        <v>8</v>
      </c>
      <c r="W22" s="19">
        <v>8</v>
      </c>
    </row>
    <row r="23" spans="1:23">
      <c r="E23" s="99" t="s">
        <v>100</v>
      </c>
      <c r="F23" s="131">
        <f t="shared" si="1"/>
        <v>0</v>
      </c>
      <c r="G23" s="99" t="s">
        <v>59</v>
      </c>
      <c r="H23" s="138"/>
      <c r="I23" s="118" t="str">
        <f>IF( INDEX(J23:S23, I$5) = "", IF( INDEX(J23:S23, I$4) = F23, "vw", "tu"), IF(INDEX(J23:S23, I$5) = F23, "vw", "tu"))</f>
        <v>vw</v>
      </c>
      <c r="J23" s="95"/>
      <c r="K23" s="36">
        <v>0</v>
      </c>
      <c r="L23" s="36"/>
      <c r="M23" s="36"/>
      <c r="N23" s="95"/>
      <c r="O23" s="36"/>
      <c r="P23" s="36"/>
      <c r="Q23" s="36"/>
      <c r="R23" s="36"/>
      <c r="T23" s="19">
        <v>8</v>
      </c>
      <c r="U23" s="19">
        <v>8</v>
      </c>
      <c r="V23" s="19">
        <v>8</v>
      </c>
      <c r="W23" s="19">
        <v>8</v>
      </c>
    </row>
    <row r="24" spans="1:23">
      <c r="E24" s="195" t="s">
        <v>3</v>
      </c>
      <c r="F24" s="160">
        <f t="shared" si="1"/>
        <v>0</v>
      </c>
      <c r="G24" s="195" t="s">
        <v>132</v>
      </c>
      <c r="I24" s="118" t="str">
        <f>IF( INDEX(J24:S24, I$5) = "", IF( INDEX(J24:S24, I$4) = F24, "vw", "tu"), IF(INDEX(J24:S24, I$5) = F24, "vw", "tu"))</f>
        <v>vw</v>
      </c>
      <c r="K24" s="19">
        <v>0</v>
      </c>
      <c r="L24" s="19">
        <v>0</v>
      </c>
      <c r="M24" s="19">
        <v>0</v>
      </c>
      <c r="O24" s="19">
        <v>0</v>
      </c>
      <c r="P24" s="19">
        <v>0</v>
      </c>
      <c r="Q24" s="19">
        <v>0</v>
      </c>
      <c r="R24" s="19">
        <v>0</v>
      </c>
      <c r="T24" s="19">
        <v>8</v>
      </c>
      <c r="U24" s="19">
        <v>8</v>
      </c>
      <c r="V24" s="19">
        <v>8</v>
      </c>
      <c r="W24" s="19">
        <v>8</v>
      </c>
    </row>
    <row r="25" spans="1:23">
      <c r="E25" s="195" t="s">
        <v>133</v>
      </c>
      <c r="F25" s="160">
        <f t="shared" si="1"/>
        <v>1E-3</v>
      </c>
      <c r="G25" s="195" t="s">
        <v>132</v>
      </c>
      <c r="I25" s="118" t="str">
        <f>IF( INDEX(J25:S25, I$5) = "", IF( INDEX(J25:S25, I$4) = F25, "vw", "tu"), IF(INDEX(J25:S25, I$5) = F25, "vw", "tu"))</f>
        <v>vw</v>
      </c>
      <c r="K25" s="19">
        <v>1E-3</v>
      </c>
      <c r="L25" s="19"/>
      <c r="M25" s="19"/>
      <c r="O25" s="19"/>
      <c r="P25" s="19"/>
      <c r="Q25" s="19"/>
      <c r="R25" s="19"/>
      <c r="T25" s="19">
        <v>8</v>
      </c>
      <c r="U25" s="19">
        <v>8</v>
      </c>
      <c r="V25" s="19">
        <v>8</v>
      </c>
      <c r="W25" s="19">
        <v>8</v>
      </c>
    </row>
    <row r="27" spans="1:23">
      <c r="B27" s="185" t="s">
        <v>76</v>
      </c>
    </row>
    <row r="28" spans="1:23">
      <c r="E28" s="199" t="s">
        <v>47</v>
      </c>
      <c r="F28" s="280">
        <f>IF(INDEX(J28:X28,$I$4)="",INDEX(J28:X28,$I$6),INDEX(J28:X28,$I$4))</f>
        <v>1</v>
      </c>
      <c r="G28" s="199" t="s">
        <v>111</v>
      </c>
      <c r="H28" s="276"/>
      <c r="I28" s="118" t="str">
        <f>IF( INDEX(J28:S28, I$5) = "", IF( INDEX(J28:S28, I$4) = F28, "vw", "tu"), IF(INDEX(J28:S28, I$5) = F28, "vw", "tu"))</f>
        <v>vw</v>
      </c>
      <c r="J28" s="175"/>
      <c r="K28" s="44">
        <v>1</v>
      </c>
      <c r="L28" s="44"/>
      <c r="M28" s="44"/>
      <c r="N28" s="175"/>
      <c r="O28" s="44"/>
      <c r="P28" s="44"/>
      <c r="Q28" s="44"/>
      <c r="R28" s="44"/>
      <c r="T28" s="19">
        <v>8</v>
      </c>
      <c r="U28" s="19">
        <v>8</v>
      </c>
      <c r="V28" s="19">
        <v>8</v>
      </c>
      <c r="W28" s="19">
        <v>8</v>
      </c>
    </row>
    <row r="30" spans="1:23">
      <c r="A30" s="257" t="s">
        <v>168</v>
      </c>
    </row>
    <row r="31" spans="1:23">
      <c r="E31" s="99" t="s">
        <v>134</v>
      </c>
      <c r="F31" s="131">
        <f>IF(INDEX(J31:X31,$I$4)="",INDEX(J31:X31,$I$6),INDEX(J31:X31,$I$4))</f>
        <v>15</v>
      </c>
      <c r="G31" s="99" t="s">
        <v>62</v>
      </c>
      <c r="H31" s="138"/>
      <c r="I31" s="118" t="str">
        <f>IF( INDEX(J31:S31, I$5) = "", IF( INDEX(J31:S31, I$4) = F31, "vw", "tu"), IF(INDEX(J31:S31, I$5) = F31, "vw", "tu"))</f>
        <v>vw</v>
      </c>
      <c r="J31" s="95"/>
      <c r="K31" s="36">
        <v>15</v>
      </c>
      <c r="L31" s="36">
        <v>0</v>
      </c>
      <c r="M31" s="36">
        <v>0</v>
      </c>
      <c r="N31" s="95"/>
      <c r="O31" s="36">
        <v>0</v>
      </c>
      <c r="P31" s="36">
        <v>0</v>
      </c>
      <c r="Q31" s="36">
        <v>0</v>
      </c>
      <c r="R31" s="36">
        <v>0</v>
      </c>
      <c r="T31" s="19">
        <v>8</v>
      </c>
      <c r="U31" s="19">
        <v>8</v>
      </c>
      <c r="V31" s="19">
        <v>8</v>
      </c>
      <c r="W31" s="19">
        <v>8</v>
      </c>
    </row>
  </sheetData>
  <conditionalFormatting sqref="I9:I15 I20:I25 I28 I31">
    <cfRule type="cellIs" dxfId="100" priority="3" operator="equal">
      <formula>"tu"</formula>
    </cfRule>
  </conditionalFormatting>
  <conditionalFormatting sqref="T12:W12 O13:R13 T14:W15 T20:W25 T28:W28 T31:W31">
    <cfRule type="cellIs" dxfId="99" priority="1" operator="equal">
      <formula>""</formula>
    </cfRule>
  </conditionalFormatting>
  <printOptions verticalCentered="1" headings="1"/>
  <pageMargins left="0.74803149606299213" right="0.74803149606299213" top="0.98425196850393704" bottom="0.98425196850393704" header="0.51181102362204722" footer="0.51181102362204722"/>
  <pageSetup paperSize="9" scale="55" orientation="landscape" blackAndWhite="1" horizontalDpi="300" verticalDpi="300"/>
  <customProperties>
    <customPr name="MMSheetType" r:id="rId1"/>
  </customPropertie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FF99"/>
    <outlinePr summaryBelow="0" summaryRight="0"/>
  </sheetPr>
  <dimension ref="A1:S30"/>
  <sheetViews>
    <sheetView showGridLines="0" defaultGridColor="0" colorId="22" zoomScale="80" workbookViewId="0">
      <pane xSplit="9" ySplit="5" topLeftCell="J6" activePane="bottomRight" state="frozen"/>
      <selection activeCell="J6" sqref="J6"/>
      <selection pane="topRight" activeCell="J6" sqref="J6"/>
      <selection pane="bottomLeft" activeCell="J6" sqref="J6"/>
      <selection pane="bottomRight" activeCell="J6" sqref="J6"/>
    </sheetView>
  </sheetViews>
  <sheetFormatPr defaultColWidth="0" defaultRowHeight="13" outlineLevelRow="2"/>
  <cols>
    <col min="1" max="2" width="1.44140625" style="20" customWidth="1"/>
    <col min="3" max="3" width="1.44140625" style="47" customWidth="1"/>
    <col min="4" max="4" width="1.44140625" style="123" customWidth="1"/>
    <col min="5" max="5" width="39.88671875" style="48" bestFit="1" customWidth="1"/>
    <col min="6" max="6" width="20.88671875" style="48" bestFit="1" customWidth="1"/>
    <col min="7" max="7" width="13.21875" style="48" bestFit="1" customWidth="1"/>
    <col min="8" max="8" width="14.33203125" style="48" bestFit="1" customWidth="1"/>
    <col min="9" max="9" width="3.44140625" style="48" customWidth="1"/>
    <col min="10" max="12" width="12.33203125" style="48" bestFit="1" customWidth="1"/>
    <col min="13" max="16" width="13" style="48" bestFit="1" customWidth="1"/>
    <col min="17" max="19" width="12.33203125" style="48" bestFit="1" customWidth="1"/>
    <col min="20" max="20" width="15.109375" style="48" hidden="1" customWidth="1"/>
    <col min="21" max="16384" width="15.109375" style="48" hidden="1"/>
  </cols>
  <sheetData>
    <row r="1" spans="1:19" s="56" customFormat="1" ht="25">
      <c r="A1" s="46" t="str">
        <f ca="1">RIGHT(CELL("filename", A1), LEN(CELL("filename", A1)) - SEARCH("]", CELL("filename", A1)))</f>
        <v>InpS</v>
      </c>
      <c r="B1" s="77"/>
      <c r="C1" s="78"/>
      <c r="D1" s="171"/>
      <c r="F1" s="49" t="str">
        <f>HYPERLINK("#Contents!A1","Go to contents")</f>
        <v>Go to contents</v>
      </c>
      <c r="H1" s="42"/>
      <c r="J1" s="42"/>
    </row>
    <row r="2" spans="1:19" s="50" customFormat="1">
      <c r="A2" s="40"/>
      <c r="B2" s="40"/>
      <c r="C2" s="79"/>
      <c r="D2" s="203"/>
      <c r="E2" s="186" t="s">
        <v>178</v>
      </c>
      <c r="F2" s="51">
        <v>0</v>
      </c>
      <c r="G2" s="52" t="s">
        <v>72</v>
      </c>
      <c r="H2" s="17"/>
      <c r="I2" s="17"/>
      <c r="J2" s="4">
        <f>Time!J$12</f>
        <v>45535</v>
      </c>
      <c r="K2" s="4">
        <f>Time!K$12</f>
        <v>45900</v>
      </c>
      <c r="L2" s="4">
        <f>Time!L$12</f>
        <v>46265</v>
      </c>
      <c r="M2" s="4">
        <f>Time!M$12</f>
        <v>46630</v>
      </c>
      <c r="N2" s="4">
        <f>Time!N$12</f>
        <v>46996</v>
      </c>
      <c r="O2" s="4">
        <f>Time!O$12</f>
        <v>47361</v>
      </c>
      <c r="P2" s="4">
        <f>Time!P$12</f>
        <v>47726</v>
      </c>
      <c r="Q2" s="4">
        <f>Time!Q$12</f>
        <v>48091</v>
      </c>
      <c r="R2" s="4">
        <f>Time!R$12</f>
        <v>48457</v>
      </c>
      <c r="S2" s="4">
        <f>Time!S$12</f>
        <v>48822</v>
      </c>
    </row>
    <row r="3" spans="1:19" s="50" customFormat="1">
      <c r="A3" s="40"/>
      <c r="B3" s="40"/>
      <c r="C3" s="79"/>
      <c r="D3" s="203"/>
      <c r="E3" s="8" t="s">
        <v>107</v>
      </c>
      <c r="F3" s="51"/>
      <c r="G3" s="52" t="s">
        <v>45</v>
      </c>
      <c r="H3" s="17"/>
      <c r="I3" s="17"/>
      <c r="J3" s="5">
        <f>Time!J$16</f>
        <v>1</v>
      </c>
      <c r="K3" s="5">
        <f>Time!K$16</f>
        <v>2</v>
      </c>
      <c r="L3" s="5">
        <f>Time!L$16</f>
        <v>3</v>
      </c>
      <c r="M3" s="5">
        <f>Time!M$16</f>
        <v>4</v>
      </c>
      <c r="N3" s="5">
        <f>Time!N$16</f>
        <v>5</v>
      </c>
      <c r="O3" s="5">
        <f>Time!O$16</f>
        <v>6</v>
      </c>
      <c r="P3" s="5">
        <f>Time!P$16</f>
        <v>7</v>
      </c>
      <c r="Q3" s="5">
        <f>Time!Q$16</f>
        <v>8</v>
      </c>
      <c r="R3" s="5">
        <f>Time!R$16</f>
        <v>9</v>
      </c>
      <c r="S3" s="5">
        <f>Time!S$16</f>
        <v>10</v>
      </c>
    </row>
    <row r="4" spans="1:19" s="50" customFormat="1">
      <c r="A4" s="40"/>
      <c r="B4" s="40"/>
      <c r="C4" s="79"/>
      <c r="D4" s="203"/>
      <c r="E4" s="30" t="s">
        <v>179</v>
      </c>
      <c r="F4" s="48"/>
      <c r="G4" s="48"/>
      <c r="H4" s="17"/>
      <c r="I4" s="17"/>
      <c r="J4" s="30"/>
      <c r="K4" s="30"/>
      <c r="L4" s="30"/>
      <c r="M4" s="30"/>
      <c r="N4" s="30"/>
      <c r="O4" s="30"/>
    </row>
    <row r="5" spans="1:19" s="50" customFormat="1">
      <c r="A5" s="40"/>
      <c r="B5" s="40"/>
      <c r="C5" s="79"/>
      <c r="D5" s="203"/>
      <c r="E5" s="8" t="s">
        <v>165</v>
      </c>
      <c r="F5" s="20" t="s">
        <v>129</v>
      </c>
      <c r="G5" s="20" t="s">
        <v>118</v>
      </c>
      <c r="H5" s="20" t="s">
        <v>106</v>
      </c>
      <c r="I5" s="17"/>
      <c r="J5" s="8"/>
      <c r="K5" s="8"/>
      <c r="L5" s="8"/>
      <c r="M5" s="8"/>
      <c r="N5" s="8"/>
      <c r="O5" s="8"/>
    </row>
    <row r="8" spans="1:19">
      <c r="A8" s="20" t="s">
        <v>85</v>
      </c>
    </row>
    <row r="10" spans="1:19" outlineLevel="1">
      <c r="A10" s="20" t="s">
        <v>77</v>
      </c>
    </row>
    <row r="11" spans="1:19" outlineLevel="1"/>
    <row r="12" spans="1:19" outlineLevel="2">
      <c r="B12" s="20" t="s">
        <v>4</v>
      </c>
    </row>
    <row r="13" spans="1:19" outlineLevel="2">
      <c r="E13" s="37" t="s">
        <v>101</v>
      </c>
      <c r="G13" s="37" t="s">
        <v>132</v>
      </c>
      <c r="H13" s="48">
        <f>SUM( J13:S13 )</f>
        <v>2750000</v>
      </c>
      <c r="J13" s="19">
        <v>150000</v>
      </c>
      <c r="K13" s="19">
        <v>350000</v>
      </c>
      <c r="L13" s="19">
        <v>750000</v>
      </c>
      <c r="M13" s="19">
        <v>1500000</v>
      </c>
      <c r="N13" s="19"/>
      <c r="O13" s="19"/>
      <c r="P13" s="19"/>
      <c r="Q13" s="19"/>
      <c r="R13" s="19"/>
      <c r="S13" s="19"/>
    </row>
    <row r="14" spans="1:19" outlineLevel="1"/>
    <row r="15" spans="1:19" outlineLevel="2">
      <c r="B15" s="20" t="s">
        <v>16</v>
      </c>
    </row>
    <row r="16" spans="1:19" outlineLevel="2">
      <c r="E16" s="37" t="s">
        <v>17</v>
      </c>
      <c r="G16" s="37" t="s">
        <v>132</v>
      </c>
      <c r="H16" s="48">
        <f>SUM( J16:S16 )</f>
        <v>0</v>
      </c>
      <c r="J16" s="19">
        <v>0</v>
      </c>
      <c r="K16" s="19">
        <v>0</v>
      </c>
      <c r="L16" s="19">
        <v>0</v>
      </c>
      <c r="M16" s="19">
        <v>0</v>
      </c>
      <c r="N16" s="19"/>
      <c r="O16" s="19"/>
      <c r="P16" s="19"/>
      <c r="Q16" s="19"/>
      <c r="R16" s="19"/>
      <c r="S16" s="19"/>
    </row>
    <row r="17" spans="1:19" outlineLevel="2">
      <c r="E17" s="37" t="s">
        <v>123</v>
      </c>
      <c r="G17" s="37" t="s">
        <v>132</v>
      </c>
      <c r="H17" s="48">
        <f>SUM( J17:S17 )</f>
        <v>0</v>
      </c>
      <c r="J17" s="19">
        <v>0</v>
      </c>
      <c r="K17" s="19">
        <v>0</v>
      </c>
      <c r="L17" s="19">
        <v>0</v>
      </c>
      <c r="M17" s="19">
        <v>0</v>
      </c>
      <c r="N17" s="19"/>
      <c r="O17" s="19"/>
      <c r="P17" s="19"/>
      <c r="Q17" s="19"/>
      <c r="R17" s="19"/>
      <c r="S17" s="19"/>
    </row>
    <row r="18" spans="1:19" outlineLevel="2">
      <c r="E18" s="37" t="s">
        <v>124</v>
      </c>
      <c r="G18" s="37" t="s">
        <v>132</v>
      </c>
      <c r="H18" s="48">
        <f>SUM( J18:S18 )</f>
        <v>0</v>
      </c>
      <c r="J18" s="19">
        <v>0</v>
      </c>
      <c r="K18" s="19">
        <v>0</v>
      </c>
      <c r="L18" s="19">
        <v>0</v>
      </c>
      <c r="M18" s="19">
        <v>0</v>
      </c>
      <c r="N18" s="19"/>
      <c r="O18" s="19"/>
      <c r="P18" s="19"/>
      <c r="Q18" s="19"/>
      <c r="R18" s="19"/>
      <c r="S18" s="19"/>
    </row>
    <row r="19" spans="1:19" outlineLevel="2">
      <c r="E19" s="37" t="s">
        <v>18</v>
      </c>
      <c r="G19" s="37" t="s">
        <v>132</v>
      </c>
      <c r="H19" s="48">
        <f>SUM( J19:S19 )</f>
        <v>2500000</v>
      </c>
      <c r="J19" s="19">
        <v>0</v>
      </c>
      <c r="K19" s="19">
        <v>250000</v>
      </c>
      <c r="L19" s="19">
        <v>750000</v>
      </c>
      <c r="M19" s="19">
        <v>1500000</v>
      </c>
      <c r="N19" s="19"/>
      <c r="O19" s="19"/>
      <c r="P19" s="19"/>
      <c r="Q19" s="19"/>
      <c r="R19" s="19"/>
      <c r="S19" s="19"/>
    </row>
    <row r="20" spans="1:19" outlineLevel="2">
      <c r="E20" s="37" t="s">
        <v>102</v>
      </c>
      <c r="G20" s="37" t="s">
        <v>132</v>
      </c>
      <c r="H20" s="48">
        <f>SUM( J20:S20 )</f>
        <v>15250000</v>
      </c>
      <c r="J20" s="19">
        <v>0</v>
      </c>
      <c r="K20" s="19">
        <v>2500000</v>
      </c>
      <c r="L20" s="19">
        <v>4250000</v>
      </c>
      <c r="M20" s="19">
        <v>8500000</v>
      </c>
      <c r="N20" s="19"/>
      <c r="O20" s="19"/>
      <c r="P20" s="19"/>
      <c r="Q20" s="19"/>
      <c r="R20" s="19"/>
      <c r="S20" s="19"/>
    </row>
    <row r="21" spans="1:19" outlineLevel="1"/>
    <row r="22" spans="1:19" outlineLevel="2">
      <c r="B22" s="20" t="s">
        <v>144</v>
      </c>
    </row>
    <row r="23" spans="1:19" outlineLevel="2">
      <c r="E23" s="37" t="s">
        <v>92</v>
      </c>
      <c r="G23" s="37" t="s">
        <v>132</v>
      </c>
      <c r="H23" s="48">
        <f>SUM( J23:S23 )</f>
        <v>122500000</v>
      </c>
      <c r="J23" s="19">
        <v>500000</v>
      </c>
      <c r="K23" s="19">
        <v>2000000</v>
      </c>
      <c r="L23" s="19">
        <v>5000000</v>
      </c>
      <c r="M23" s="19">
        <v>10000000</v>
      </c>
      <c r="N23" s="19">
        <v>20000000</v>
      </c>
      <c r="O23" s="19">
        <v>35000000</v>
      </c>
      <c r="P23" s="19">
        <v>50000000</v>
      </c>
      <c r="Q23" s="19"/>
      <c r="R23" s="19"/>
      <c r="S23" s="19"/>
    </row>
    <row r="25" spans="1:19" outlineLevel="1">
      <c r="A25" s="20" t="s">
        <v>135</v>
      </c>
    </row>
    <row r="26" spans="1:19" outlineLevel="1">
      <c r="E26" s="193" t="s">
        <v>78</v>
      </c>
      <c r="F26" s="142"/>
      <c r="G26" s="193" t="s">
        <v>111</v>
      </c>
      <c r="H26" s="142"/>
      <c r="I26" s="142"/>
      <c r="J26" s="44">
        <v>0.3</v>
      </c>
      <c r="K26" s="44">
        <v>0.28499999999999998</v>
      </c>
      <c r="L26" s="44">
        <v>0.2</v>
      </c>
      <c r="M26" s="44">
        <v>0</v>
      </c>
      <c r="N26" s="44">
        <v>0</v>
      </c>
      <c r="O26" s="44"/>
      <c r="P26" s="44"/>
      <c r="Q26" s="44"/>
      <c r="R26" s="44"/>
      <c r="S26" s="44"/>
    </row>
    <row r="27" spans="1:19" outlineLevel="1">
      <c r="E27" s="193" t="s">
        <v>5</v>
      </c>
      <c r="F27" s="142"/>
      <c r="G27" s="193" t="s">
        <v>111</v>
      </c>
      <c r="H27" s="142"/>
      <c r="I27" s="142"/>
      <c r="J27" s="44">
        <v>0</v>
      </c>
      <c r="K27" s="44">
        <v>0</v>
      </c>
      <c r="L27" s="44"/>
      <c r="M27" s="44">
        <v>0</v>
      </c>
      <c r="N27" s="44">
        <v>6.5000000000000002E-2</v>
      </c>
      <c r="O27" s="44">
        <v>6.5000000000000002E-2</v>
      </c>
      <c r="P27" s="44">
        <v>6.5000000000000002E-2</v>
      </c>
      <c r="Q27" s="44"/>
      <c r="R27" s="44"/>
      <c r="S27" s="44"/>
    </row>
    <row r="30" spans="1:19">
      <c r="B30" s="20" t="s">
        <v>139</v>
      </c>
    </row>
  </sheetData>
  <conditionalFormatting sqref="F2:F3">
    <cfRule type="cellIs" dxfId="98" priority="1" stopIfTrue="1" operator="notEqual">
      <formula>0</formula>
    </cfRule>
    <cfRule type="cellIs" dxfId="97" priority="2" stopIfTrue="1" operator="equal">
      <formula>""</formula>
    </cfRule>
  </conditionalFormatting>
  <conditionalFormatting sqref="J3:S3">
    <cfRule type="cellIs" dxfId="96" priority="3" operator="equal">
      <formula>"PPA ext."</formula>
    </cfRule>
    <cfRule type="cellIs" dxfId="95" priority="4" operator="equal">
      <formula>"Delay"</formula>
    </cfRule>
    <cfRule type="cellIs" dxfId="94" priority="5" operator="equal">
      <formula>"Fin Close"</formula>
    </cfRule>
    <cfRule type="cellIs" dxfId="93" priority="6" stopIfTrue="1" operator="equal">
      <formula>"Construction"</formula>
    </cfRule>
    <cfRule type="cellIs" dxfId="92" priority="7" stopIfTrue="1" operator="equal">
      <formula>"Operations"</formula>
    </cfRule>
  </conditionalFormatting>
  <printOptions headings="1"/>
  <pageMargins left="0.75" right="0.75" top="1" bottom="1" header="0.5" footer="0.5"/>
  <pageSetup paperSize="9" scale="55" orientation="landscape" blackAndWhite="1"/>
  <headerFooter>
    <oddHeader>&amp;LPROJECT [XXX]&amp;CSheet:&amp;A&amp;RSTRICTLY CONFIDENTIAL</oddHeader>
    <oddFooter>&amp;L&amp;F ( Printed on &amp;D at &amp;T )&amp;RPage &amp;P of &amp;N</oddFooter>
  </headerFooter>
  <customProperties>
    <customPr name="MMSheetType" r:id="rId1"/>
  </customPropertie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FF99"/>
    <outlinePr summaryBelow="0" summaryRight="0"/>
  </sheetPr>
  <dimension ref="A1:O5"/>
  <sheetViews>
    <sheetView showGridLines="0" defaultGridColor="0" colorId="22" zoomScale="80" workbookViewId="0">
      <pane xSplit="9" ySplit="5" topLeftCell="J6" activePane="bottomRight" state="frozen"/>
      <selection activeCell="J6" sqref="J6"/>
      <selection pane="topRight" activeCell="J6" sqref="J6"/>
      <selection pane="bottomLeft" activeCell="J6" sqref="J6"/>
      <selection pane="bottomRight" activeCell="J6" sqref="J6"/>
    </sheetView>
  </sheetViews>
  <sheetFormatPr defaultColWidth="0" defaultRowHeight="13"/>
  <cols>
    <col min="1" max="2" width="1.44140625" style="20" customWidth="1"/>
    <col min="3" max="3" width="1.44140625" style="47" customWidth="1"/>
    <col min="4" max="4" width="1.44140625" style="123" customWidth="1"/>
    <col min="5" max="5" width="71.44140625" style="48" customWidth="1"/>
    <col min="6" max="6" width="16.33203125" style="48" customWidth="1"/>
    <col min="7" max="8" width="15.109375" style="48" customWidth="1"/>
    <col min="9" max="9" width="3.44140625" style="48" customWidth="1"/>
    <col min="10" max="15" width="15.109375" style="48" customWidth="1"/>
    <col min="16" max="16" width="15.109375" style="48" hidden="1" customWidth="1"/>
    <col min="17" max="16384" width="15.109375" style="48" hidden="1"/>
  </cols>
  <sheetData>
    <row r="1" spans="1:15" s="56" customFormat="1" ht="25">
      <c r="A1" s="46" t="str">
        <f ca="1" xml:space="preserve"> RIGHT(CELL("filename", A1), LEN(CELL("filename", A1)) - SEARCH("]", CELL("filename", A1)))</f>
        <v>InpT</v>
      </c>
      <c r="B1" s="77"/>
      <c r="C1" s="78"/>
      <c r="D1" s="171"/>
      <c r="F1" s="49" t="str">
        <f>HYPERLINK("#Contents!A1","Go to contents")</f>
        <v>Go to contents</v>
      </c>
      <c r="H1" s="42"/>
      <c r="J1" s="42"/>
    </row>
    <row r="2" spans="1:15" s="50" customFormat="1">
      <c r="A2" s="40"/>
      <c r="B2" s="40"/>
      <c r="C2" s="79"/>
      <c r="D2" s="203"/>
      <c r="E2" s="186" t="s">
        <v>178</v>
      </c>
      <c r="F2" s="51">
        <v>0</v>
      </c>
      <c r="G2" s="52" t="s">
        <v>72</v>
      </c>
      <c r="H2" s="17"/>
      <c r="I2" s="17"/>
      <c r="J2" s="4"/>
      <c r="K2" s="4"/>
      <c r="L2" s="4"/>
      <c r="M2" s="4"/>
      <c r="N2" s="4"/>
      <c r="O2" s="4"/>
    </row>
    <row r="3" spans="1:15" s="50" customFormat="1">
      <c r="A3" s="40"/>
      <c r="B3" s="40"/>
      <c r="C3" s="79"/>
      <c r="D3" s="203"/>
      <c r="E3" s="8" t="s">
        <v>107</v>
      </c>
      <c r="F3" s="51"/>
      <c r="G3" s="52" t="s">
        <v>45</v>
      </c>
      <c r="H3" s="17"/>
      <c r="I3" s="17"/>
      <c r="J3" s="5"/>
      <c r="K3" s="5"/>
      <c r="L3" s="5"/>
      <c r="M3" s="5"/>
      <c r="N3" s="5"/>
      <c r="O3" s="5"/>
    </row>
    <row r="4" spans="1:15" s="50" customFormat="1">
      <c r="A4" s="40"/>
      <c r="B4" s="40"/>
      <c r="C4" s="79"/>
      <c r="D4" s="203"/>
      <c r="E4" s="30" t="s">
        <v>179</v>
      </c>
      <c r="F4" s="48"/>
      <c r="G4" s="48"/>
      <c r="H4" s="17"/>
      <c r="I4" s="17"/>
      <c r="J4" s="30"/>
      <c r="K4" s="30"/>
      <c r="L4" s="30"/>
      <c r="M4" s="30"/>
      <c r="N4" s="30"/>
      <c r="O4" s="30"/>
    </row>
    <row r="5" spans="1:15" s="50" customFormat="1">
      <c r="A5" s="40"/>
      <c r="B5" s="40"/>
      <c r="C5" s="79"/>
      <c r="D5" s="203"/>
      <c r="E5" s="8" t="s">
        <v>165</v>
      </c>
      <c r="F5" s="20"/>
      <c r="G5" s="20" t="s">
        <v>118</v>
      </c>
      <c r="H5" s="20"/>
      <c r="I5" s="17"/>
      <c r="J5" s="8"/>
      <c r="K5" s="8"/>
      <c r="L5" s="8"/>
      <c r="M5" s="8"/>
      <c r="N5" s="8"/>
      <c r="O5" s="8"/>
    </row>
  </sheetData>
  <conditionalFormatting sqref="F2:F3">
    <cfRule type="cellIs" dxfId="91" priority="1" stopIfTrue="1" operator="notEqual">
      <formula>0</formula>
    </cfRule>
    <cfRule type="cellIs" dxfId="90" priority="2" stopIfTrue="1" operator="equal">
      <formula>""</formula>
    </cfRule>
  </conditionalFormatting>
  <conditionalFormatting sqref="J3:O3">
    <cfRule type="cellIs" dxfId="89" priority="3" operator="equal">
      <formula>"PPA ext."</formula>
    </cfRule>
    <cfRule type="cellIs" dxfId="88" priority="4" operator="equal">
      <formula>"Delay"</formula>
    </cfRule>
    <cfRule type="cellIs" dxfId="87" priority="5" operator="equal">
      <formula>"Fin Close"</formula>
    </cfRule>
    <cfRule type="cellIs" dxfId="86" priority="6" stopIfTrue="1" operator="equal">
      <formula>"Construction"</formula>
    </cfRule>
    <cfRule type="cellIs" dxfId="85" priority="7" stopIfTrue="1" operator="equal">
      <formula>"Operations"</formula>
    </cfRule>
  </conditionalFormatting>
  <printOptions headings="1"/>
  <pageMargins left="0.75" right="0.75" top="1" bottom="1" header="0.5" footer="0.5"/>
  <pageSetup paperSize="9" scale="55" orientation="landscape" blackAndWhite="1"/>
  <headerFooter>
    <oddHeader>&amp;LPROJECT [XXX]&amp;CSheet:&amp;A&amp;RSTRICTLY CONFIDENTIAL</oddHeader>
    <oddFooter>&amp;L&amp;F ( Printed on &amp;D at &amp;T )&amp;RPage &amp;P of &amp;N</oddFooter>
  </headerFooter>
  <customProperties>
    <customPr name="MMSheetType" r:id="rId1"/>
  </customPropertie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S26"/>
  <sheetViews>
    <sheetView showGridLines="0" defaultGridColor="0" colorId="22" zoomScale="80" workbookViewId="0">
      <pane xSplit="9" ySplit="5" topLeftCell="J6" activePane="bottomRight" state="frozen"/>
      <selection activeCell="J6" sqref="J6"/>
      <selection pane="topRight" activeCell="J6" sqref="J6"/>
      <selection pane="bottomLeft" activeCell="J6" sqref="J6"/>
      <selection pane="bottomRight" activeCell="J6" sqref="J6"/>
    </sheetView>
  </sheetViews>
  <sheetFormatPr defaultColWidth="0" defaultRowHeight="13" outlineLevelRow="2"/>
  <cols>
    <col min="1" max="2" width="1.44140625" style="20" customWidth="1"/>
    <col min="3" max="3" width="1.44140625" style="47" customWidth="1"/>
    <col min="4" max="4" width="1.44140625" style="86" customWidth="1"/>
    <col min="5" max="5" width="30.44140625" style="48" bestFit="1" customWidth="1"/>
    <col min="6" max="6" width="20.88671875" style="48" bestFit="1" customWidth="1"/>
    <col min="7" max="7" width="13.21875" style="48" bestFit="1" customWidth="1"/>
    <col min="8" max="8" width="7.6640625" style="48" bestFit="1" customWidth="1"/>
    <col min="9" max="9" width="3.44140625" style="48" customWidth="1"/>
    <col min="10" max="19" width="12.33203125" style="48" bestFit="1" customWidth="1"/>
    <col min="20" max="20" width="15.109375" style="48" hidden="1" customWidth="1"/>
    <col min="21" max="16384" width="15.109375" style="48" hidden="1"/>
  </cols>
  <sheetData>
    <row r="1" spans="1:19" s="56" customFormat="1" ht="25">
      <c r="A1" s="46" t="str">
        <f ca="1" xml:space="preserve"> RIGHT(CELL("filename", A1), LEN(CELL("filename", A1)) - SEARCH("]", CELL("filename", A1)))</f>
        <v>Time</v>
      </c>
      <c r="B1" s="77"/>
      <c r="C1" s="78"/>
      <c r="D1" s="90"/>
      <c r="F1" s="49" t="str">
        <f>HYPERLINK("#Contents!A1","Go to contents")</f>
        <v>Go to contents</v>
      </c>
      <c r="H1" s="42"/>
      <c r="J1" s="42"/>
    </row>
    <row r="2" spans="1:19" s="50" customFormat="1">
      <c r="A2" s="40"/>
      <c r="B2" s="40"/>
      <c r="C2" s="79"/>
      <c r="D2" s="82"/>
      <c r="E2" s="17" t="s">
        <v>178</v>
      </c>
      <c r="F2" s="51">
        <v>0</v>
      </c>
      <c r="G2" s="52" t="s">
        <v>72</v>
      </c>
      <c r="H2" s="17"/>
      <c r="I2" s="17"/>
      <c r="J2" s="4">
        <f t="shared" ref="J2:S2" si="0" xml:space="preserve"> J$12</f>
        <v>45535</v>
      </c>
      <c r="K2" s="4">
        <f t="shared" si="0"/>
        <v>45900</v>
      </c>
      <c r="L2" s="4">
        <f t="shared" si="0"/>
        <v>46265</v>
      </c>
      <c r="M2" s="4">
        <f t="shared" si="0"/>
        <v>46630</v>
      </c>
      <c r="N2" s="4">
        <f t="shared" si="0"/>
        <v>46996</v>
      </c>
      <c r="O2" s="4">
        <f t="shared" si="0"/>
        <v>47361</v>
      </c>
      <c r="P2" s="4">
        <f t="shared" si="0"/>
        <v>47726</v>
      </c>
      <c r="Q2" s="4">
        <f t="shared" si="0"/>
        <v>48091</v>
      </c>
      <c r="R2" s="4">
        <f t="shared" si="0"/>
        <v>48457</v>
      </c>
      <c r="S2" s="4">
        <f t="shared" si="0"/>
        <v>48822</v>
      </c>
    </row>
    <row r="3" spans="1:19" s="32" customFormat="1">
      <c r="A3" s="40"/>
      <c r="B3" s="40"/>
      <c r="C3" s="79"/>
      <c r="D3" s="82"/>
      <c r="E3" s="37" t="s">
        <v>107</v>
      </c>
      <c r="F3" s="51"/>
      <c r="G3" s="52" t="s">
        <v>45</v>
      </c>
      <c r="H3" s="17"/>
      <c r="I3" s="17"/>
      <c r="J3" s="5">
        <f t="shared" ref="J3:S3" si="1" xml:space="preserve"> J$16</f>
        <v>1</v>
      </c>
      <c r="K3" s="5">
        <f t="shared" si="1"/>
        <v>2</v>
      </c>
      <c r="L3" s="5">
        <f t="shared" si="1"/>
        <v>3</v>
      </c>
      <c r="M3" s="5">
        <f t="shared" si="1"/>
        <v>4</v>
      </c>
      <c r="N3" s="5">
        <f t="shared" si="1"/>
        <v>5</v>
      </c>
      <c r="O3" s="5">
        <f t="shared" si="1"/>
        <v>6</v>
      </c>
      <c r="P3" s="5">
        <f t="shared" si="1"/>
        <v>7</v>
      </c>
      <c r="Q3" s="5">
        <f t="shared" si="1"/>
        <v>8</v>
      </c>
      <c r="R3" s="5">
        <f t="shared" si="1"/>
        <v>9</v>
      </c>
      <c r="S3" s="5">
        <f t="shared" si="1"/>
        <v>10</v>
      </c>
    </row>
    <row r="4" spans="1:19" s="30" customFormat="1">
      <c r="A4" s="40"/>
      <c r="B4" s="40"/>
      <c r="C4" s="79"/>
      <c r="D4" s="82"/>
      <c r="E4" s="17" t="s">
        <v>179</v>
      </c>
      <c r="F4" s="20"/>
      <c r="G4" s="17"/>
      <c r="H4" s="17"/>
      <c r="I4" s="17"/>
    </row>
    <row r="5" spans="1:19" s="32" customFormat="1">
      <c r="A5" s="40"/>
      <c r="B5" s="40"/>
      <c r="C5" s="79"/>
      <c r="D5" s="82"/>
      <c r="E5" s="17" t="s">
        <v>165</v>
      </c>
      <c r="F5" s="20" t="s">
        <v>129</v>
      </c>
      <c r="G5" s="20" t="s">
        <v>118</v>
      </c>
      <c r="H5" s="20" t="s">
        <v>106</v>
      </c>
      <c r="I5" s="17"/>
      <c r="J5" s="8"/>
      <c r="K5" s="8"/>
      <c r="L5" s="8"/>
      <c r="M5" s="8"/>
      <c r="N5" s="8"/>
      <c r="O5" s="8"/>
    </row>
    <row r="6" spans="1:19" s="37" customFormat="1">
      <c r="A6" s="20"/>
      <c r="B6" s="20"/>
      <c r="C6" s="47"/>
      <c r="D6" s="87"/>
      <c r="F6" s="20"/>
      <c r="G6" s="20"/>
      <c r="H6" s="20"/>
    </row>
    <row r="8" spans="1:19">
      <c r="A8" s="20" t="s">
        <v>93</v>
      </c>
    </row>
    <row r="9" spans="1:19" outlineLevel="1">
      <c r="B9" s="20" t="s">
        <v>178</v>
      </c>
    </row>
    <row r="10" spans="1:19" outlineLevel="2">
      <c r="A10" s="18"/>
      <c r="B10" s="18"/>
      <c r="C10" s="28"/>
      <c r="D10" s="29"/>
      <c r="E10" s="9" t="str">
        <f xml:space="preserve">  InpC!E$14</f>
        <v>Months per period (Primary)</v>
      </c>
      <c r="F10" s="9">
        <f xml:space="preserve">  InpC!F$14</f>
        <v>12</v>
      </c>
      <c r="G10" s="9" t="str">
        <f xml:space="preserve">  InpC!G$14</f>
        <v>Months</v>
      </c>
      <c r="M10" s="1"/>
    </row>
    <row r="11" spans="1:19" outlineLevel="2">
      <c r="E11" s="31" t="str">
        <f t="shared" ref="E11:S11" si="2" xml:space="preserve">  E$23</f>
        <v>Model period start</v>
      </c>
      <c r="F11" s="31">
        <f t="shared" si="2"/>
        <v>0</v>
      </c>
      <c r="G11" s="31" t="str">
        <f t="shared" si="2"/>
        <v>date</v>
      </c>
      <c r="H11" s="31">
        <f t="shared" si="2"/>
        <v>0</v>
      </c>
      <c r="I11" s="31">
        <f t="shared" si="2"/>
        <v>0</v>
      </c>
      <c r="J11" s="31">
        <f t="shared" si="2"/>
        <v>45170</v>
      </c>
      <c r="K11" s="31">
        <f t="shared" si="2"/>
        <v>45536</v>
      </c>
      <c r="L11" s="31">
        <f t="shared" si="2"/>
        <v>45901</v>
      </c>
      <c r="M11" s="31">
        <f t="shared" si="2"/>
        <v>46266</v>
      </c>
      <c r="N11" s="31">
        <f t="shared" si="2"/>
        <v>46631</v>
      </c>
      <c r="O11" s="31">
        <f t="shared" si="2"/>
        <v>46997</v>
      </c>
      <c r="P11" s="31">
        <f t="shared" si="2"/>
        <v>47362</v>
      </c>
      <c r="Q11" s="31">
        <f t="shared" si="2"/>
        <v>47727</v>
      </c>
      <c r="R11" s="31">
        <f t="shared" si="2"/>
        <v>48092</v>
      </c>
      <c r="S11" s="31">
        <f t="shared" si="2"/>
        <v>48458</v>
      </c>
    </row>
    <row r="12" spans="1:19" outlineLevel="2">
      <c r="A12" s="24"/>
      <c r="B12" s="24"/>
      <c r="C12" s="45"/>
      <c r="D12" s="43"/>
      <c r="E12" s="14" t="s">
        <v>178</v>
      </c>
      <c r="F12" s="14"/>
      <c r="G12" s="14" t="s">
        <v>109</v>
      </c>
      <c r="H12" s="14"/>
      <c r="I12" s="14"/>
      <c r="J12" s="70">
        <f t="shared" ref="J12:S12" si="3" xml:space="preserve">  EDATE( J11, $F10 ) - 1</f>
        <v>45535</v>
      </c>
      <c r="K12" s="70">
        <f t="shared" si="3"/>
        <v>45900</v>
      </c>
      <c r="L12" s="70">
        <f t="shared" si="3"/>
        <v>46265</v>
      </c>
      <c r="M12" s="70">
        <f t="shared" si="3"/>
        <v>46630</v>
      </c>
      <c r="N12" s="70">
        <f t="shared" si="3"/>
        <v>46996</v>
      </c>
      <c r="O12" s="70">
        <f t="shared" si="3"/>
        <v>47361</v>
      </c>
      <c r="P12" s="70">
        <f t="shared" si="3"/>
        <v>47726</v>
      </c>
      <c r="Q12" s="70">
        <f t="shared" si="3"/>
        <v>48091</v>
      </c>
      <c r="R12" s="70">
        <f t="shared" si="3"/>
        <v>48457</v>
      </c>
      <c r="S12" s="70">
        <f t="shared" si="3"/>
        <v>48822</v>
      </c>
    </row>
    <row r="13" spans="1:19" outlineLevel="1"/>
    <row r="14" spans="1:19" outlineLevel="1"/>
    <row r="15" spans="1:19" outlineLevel="1">
      <c r="B15" s="20" t="s">
        <v>165</v>
      </c>
    </row>
    <row r="16" spans="1:19" outlineLevel="1">
      <c r="A16" s="24"/>
      <c r="B16" s="24"/>
      <c r="C16" s="45"/>
      <c r="D16" s="43"/>
      <c r="E16" s="14" t="s">
        <v>165</v>
      </c>
      <c r="F16" s="14"/>
      <c r="G16" s="14" t="s">
        <v>148</v>
      </c>
      <c r="H16" s="14"/>
      <c r="I16" s="14"/>
      <c r="J16" s="65">
        <f t="shared" ref="J16:S16" si="4" xml:space="preserve">  I16 + 1</f>
        <v>1</v>
      </c>
      <c r="K16" s="65">
        <f t="shared" si="4"/>
        <v>2</v>
      </c>
      <c r="L16" s="65">
        <f t="shared" si="4"/>
        <v>3</v>
      </c>
      <c r="M16" s="65">
        <f t="shared" si="4"/>
        <v>4</v>
      </c>
      <c r="N16" s="65">
        <f t="shared" si="4"/>
        <v>5</v>
      </c>
      <c r="O16" s="65">
        <f t="shared" si="4"/>
        <v>6</v>
      </c>
      <c r="P16" s="65">
        <f t="shared" si="4"/>
        <v>7</v>
      </c>
      <c r="Q16" s="65">
        <f t="shared" si="4"/>
        <v>8</v>
      </c>
      <c r="R16" s="65">
        <f t="shared" si="4"/>
        <v>9</v>
      </c>
      <c r="S16" s="65">
        <f t="shared" si="4"/>
        <v>10</v>
      </c>
    </row>
    <row r="17" spans="1:19" outlineLevel="1"/>
    <row r="19" spans="1:19">
      <c r="B19" s="20" t="s">
        <v>19</v>
      </c>
    </row>
    <row r="20" spans="1:19" outlineLevel="1">
      <c r="A20" s="18"/>
      <c r="B20" s="18"/>
      <c r="C20" s="28"/>
      <c r="D20" s="29"/>
      <c r="E20" s="148" t="str">
        <f xml:space="preserve">  InpC!E$12</f>
        <v>Start date</v>
      </c>
      <c r="F20" s="148">
        <f xml:space="preserve">  InpC!F$12</f>
        <v>45170</v>
      </c>
      <c r="G20" s="148" t="str">
        <f xml:space="preserve">  InpC!G$12</f>
        <v>date</v>
      </c>
      <c r="M20" s="31"/>
    </row>
    <row r="21" spans="1:19" outlineLevel="1">
      <c r="A21" s="18"/>
      <c r="B21" s="18"/>
      <c r="C21" s="28"/>
      <c r="D21" s="29"/>
      <c r="E21" s="9" t="str">
        <f xml:space="preserve">  InpC!E$14</f>
        <v>Months per period (Primary)</v>
      </c>
      <c r="F21" s="9">
        <f xml:space="preserve">  InpC!F$14</f>
        <v>12</v>
      </c>
      <c r="G21" s="9" t="str">
        <f xml:space="preserve">  InpC!G$14</f>
        <v>Months</v>
      </c>
      <c r="M21" s="1"/>
    </row>
    <row r="22" spans="1:19" outlineLevel="1">
      <c r="E22" s="1" t="str">
        <f t="shared" ref="E22:S22" si="5" xml:space="preserve">  E$16</f>
        <v>Period number</v>
      </c>
      <c r="F22" s="1">
        <f t="shared" si="5"/>
        <v>0</v>
      </c>
      <c r="G22" s="1" t="str">
        <f t="shared" si="5"/>
        <v>Counter</v>
      </c>
      <c r="H22" s="1">
        <f t="shared" si="5"/>
        <v>0</v>
      </c>
      <c r="I22" s="1">
        <f t="shared" si="5"/>
        <v>0</v>
      </c>
      <c r="J22" s="1">
        <f t="shared" si="5"/>
        <v>1</v>
      </c>
      <c r="K22" s="1">
        <f t="shared" si="5"/>
        <v>2</v>
      </c>
      <c r="L22" s="1">
        <f t="shared" si="5"/>
        <v>3</v>
      </c>
      <c r="M22" s="1">
        <f t="shared" si="5"/>
        <v>4</v>
      </c>
      <c r="N22" s="1">
        <f t="shared" si="5"/>
        <v>5</v>
      </c>
      <c r="O22" s="1">
        <f t="shared" si="5"/>
        <v>6</v>
      </c>
      <c r="P22" s="1">
        <f t="shared" si="5"/>
        <v>7</v>
      </c>
      <c r="Q22" s="1">
        <f t="shared" si="5"/>
        <v>8</v>
      </c>
      <c r="R22" s="1">
        <f t="shared" si="5"/>
        <v>9</v>
      </c>
      <c r="S22" s="1">
        <f t="shared" si="5"/>
        <v>10</v>
      </c>
    </row>
    <row r="23" spans="1:19" outlineLevel="1">
      <c r="E23" s="48" t="s">
        <v>19</v>
      </c>
      <c r="G23" s="48" t="s">
        <v>109</v>
      </c>
      <c r="J23" s="31">
        <f t="shared" ref="J23:S23" si="6" xml:space="preserve">  IF( J22 = 1, $F20, EDATE( I23, $F21 ) )</f>
        <v>45170</v>
      </c>
      <c r="K23" s="31">
        <f t="shared" si="6"/>
        <v>45536</v>
      </c>
      <c r="L23" s="31">
        <f t="shared" si="6"/>
        <v>45901</v>
      </c>
      <c r="M23" s="31">
        <f t="shared" si="6"/>
        <v>46266</v>
      </c>
      <c r="N23" s="31">
        <f t="shared" si="6"/>
        <v>46631</v>
      </c>
      <c r="O23" s="31">
        <f t="shared" si="6"/>
        <v>46997</v>
      </c>
      <c r="P23" s="31">
        <f t="shared" si="6"/>
        <v>47362</v>
      </c>
      <c r="Q23" s="31">
        <f t="shared" si="6"/>
        <v>47727</v>
      </c>
      <c r="R23" s="31">
        <f t="shared" si="6"/>
        <v>48092</v>
      </c>
      <c r="S23" s="31">
        <f t="shared" si="6"/>
        <v>48458</v>
      </c>
    </row>
    <row r="26" spans="1:19">
      <c r="B26" s="20" t="s">
        <v>139</v>
      </c>
    </row>
  </sheetData>
  <conditionalFormatting sqref="F2:F3">
    <cfRule type="cellIs" dxfId="84" priority="1" stopIfTrue="1" operator="notEqual">
      <formula>0</formula>
    </cfRule>
    <cfRule type="cellIs" dxfId="83" priority="2" stopIfTrue="1" operator="equal">
      <formula>""</formula>
    </cfRule>
  </conditionalFormatting>
  <conditionalFormatting sqref="J3:S3">
    <cfRule type="cellIs" dxfId="82" priority="8" operator="equal">
      <formula>"PPA ext."</formula>
    </cfRule>
    <cfRule type="cellIs" dxfId="81" priority="9" operator="equal">
      <formula>"Delay"</formula>
    </cfRule>
    <cfRule type="cellIs" dxfId="80" priority="10" operator="equal">
      <formula>"Fin Close"</formula>
    </cfRule>
    <cfRule type="cellIs" dxfId="79" priority="11" stopIfTrue="1" operator="equal">
      <formula>"Construction"</formula>
    </cfRule>
    <cfRule type="cellIs" dxfId="78" priority="12" stopIfTrue="1" operator="equal">
      <formula>"Operations"</formula>
    </cfRule>
  </conditionalFormatting>
  <printOptions headings="1"/>
  <pageMargins left="0.74803149606299213" right="0.74803149606299213" top="0.98425196850393704" bottom="0.98425196850393704" header="0.51181102362204722" footer="0.51181102362204722"/>
  <pageSetup paperSize="9" scale="49" orientation="landscape" blackAndWhite="1"/>
  <headerFooter>
    <oddHeader>&amp;LPROJECT [XXX]&amp;CSheet:&amp;A&amp;RSTRICTLY CONFIDENTIAL</oddHeader>
    <oddFooter>&amp;L&amp;F ( Printed on &amp;D at &amp;T )&amp;RPage &amp;P of &amp;N</oddFooter>
  </headerFooter>
  <customProperties>
    <customPr name="MMGroup" r:id="rId1"/>
    <customPr name="MMSheetType" r:id="rId2"/>
    <customPr name="MMTimeAxis" r:id="rId3"/>
  </customPropertie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S9"/>
  <sheetViews>
    <sheetView defaultGridColor="0" colorId="22" zoomScale="80" workbookViewId="0">
      <pane xSplit="9" ySplit="5" topLeftCell="J6" activePane="bottomRight" state="frozen"/>
      <selection activeCell="J6" sqref="J6"/>
      <selection pane="topRight" activeCell="J6" sqref="J6"/>
      <selection pane="bottomLeft" activeCell="J6" sqref="J6"/>
      <selection pane="bottomRight" activeCell="J6" sqref="J6"/>
    </sheetView>
  </sheetViews>
  <sheetFormatPr defaultColWidth="0" defaultRowHeight="13"/>
  <cols>
    <col min="1" max="2" width="1.44140625" style="20" customWidth="1"/>
    <col min="3" max="3" width="1.44140625" style="47" customWidth="1"/>
    <col min="4" max="4" width="1.44140625" style="86" customWidth="1"/>
    <col min="5" max="5" width="23.33203125" style="48" bestFit="1" customWidth="1"/>
    <col min="6" max="6" width="20.88671875" style="48" bestFit="1" customWidth="1"/>
    <col min="7" max="7" width="13.21875" style="48" bestFit="1" customWidth="1"/>
    <col min="8" max="8" width="7.6640625" style="48" bestFit="1" customWidth="1"/>
    <col min="9" max="9" width="3.44140625" style="48" customWidth="1"/>
    <col min="10" max="19" width="12.33203125" style="48" bestFit="1" customWidth="1"/>
    <col min="20" max="20" width="15.109375" style="48" hidden="1" customWidth="1"/>
    <col min="21" max="16384" width="15.109375" style="48" hidden="1"/>
  </cols>
  <sheetData>
    <row r="1" spans="1:19" s="56" customFormat="1" ht="25">
      <c r="A1" s="46" t="str">
        <f ca="1" xml:space="preserve"> RIGHT(CELL("filename", A1), LEN(CELL("filename", A1)) - SEARCH("]", CELL("filename", A1)))</f>
        <v>Defect</v>
      </c>
      <c r="B1" s="77"/>
      <c r="C1" s="78"/>
      <c r="D1" s="90"/>
      <c r="F1" s="49" t="str">
        <f>HYPERLINK("#Contents!A1","Go to contents")</f>
        <v>Go to contents</v>
      </c>
      <c r="H1" s="42"/>
      <c r="J1" s="42"/>
    </row>
    <row r="2" spans="1:19" s="50" customFormat="1">
      <c r="A2" s="40"/>
      <c r="B2" s="40"/>
      <c r="C2" s="79"/>
      <c r="D2" s="82"/>
      <c r="E2" s="17" t="s">
        <v>178</v>
      </c>
      <c r="F2" s="51">
        <v>0</v>
      </c>
      <c r="G2" s="52" t="s">
        <v>72</v>
      </c>
      <c r="H2" s="17"/>
      <c r="I2" s="17"/>
      <c r="J2" s="4">
        <f xml:space="preserve"> Time!J$12</f>
        <v>45535</v>
      </c>
      <c r="K2" s="4">
        <f xml:space="preserve"> Time!K$12</f>
        <v>45900</v>
      </c>
      <c r="L2" s="4">
        <f xml:space="preserve"> Time!L$12</f>
        <v>46265</v>
      </c>
      <c r="M2" s="4">
        <f xml:space="preserve"> Time!M$12</f>
        <v>46630</v>
      </c>
      <c r="N2" s="4">
        <f xml:space="preserve"> Time!N$12</f>
        <v>46996</v>
      </c>
      <c r="O2" s="4">
        <f xml:space="preserve"> Time!O$12</f>
        <v>47361</v>
      </c>
      <c r="P2" s="4">
        <f xml:space="preserve"> Time!P$12</f>
        <v>47726</v>
      </c>
      <c r="Q2" s="4">
        <f xml:space="preserve"> Time!Q$12</f>
        <v>48091</v>
      </c>
      <c r="R2" s="4">
        <f xml:space="preserve"> Time!R$12</f>
        <v>48457</v>
      </c>
      <c r="S2" s="4">
        <f xml:space="preserve"> Time!S$12</f>
        <v>48822</v>
      </c>
    </row>
    <row r="3" spans="1:19" s="32" customFormat="1">
      <c r="A3" s="40"/>
      <c r="B3" s="40"/>
      <c r="C3" s="79"/>
      <c r="D3" s="82"/>
      <c r="E3" s="37" t="s">
        <v>107</v>
      </c>
      <c r="F3" s="51"/>
      <c r="G3" s="52" t="s">
        <v>45</v>
      </c>
      <c r="H3" s="17"/>
      <c r="I3" s="17"/>
      <c r="J3" s="5">
        <f xml:space="preserve"> Time!J$16</f>
        <v>1</v>
      </c>
      <c r="K3" s="5">
        <f xml:space="preserve"> Time!K$16</f>
        <v>2</v>
      </c>
      <c r="L3" s="5">
        <f xml:space="preserve"> Time!L$16</f>
        <v>3</v>
      </c>
      <c r="M3" s="5">
        <f xml:space="preserve"> Time!M$16</f>
        <v>4</v>
      </c>
      <c r="N3" s="5">
        <f xml:space="preserve"> Time!N$16</f>
        <v>5</v>
      </c>
      <c r="O3" s="5">
        <f xml:space="preserve"> Time!O$16</f>
        <v>6</v>
      </c>
      <c r="P3" s="5">
        <f xml:space="preserve"> Time!P$16</f>
        <v>7</v>
      </c>
      <c r="Q3" s="5">
        <f xml:space="preserve"> Time!Q$16</f>
        <v>8</v>
      </c>
      <c r="R3" s="5">
        <f xml:space="preserve"> Time!R$16</f>
        <v>9</v>
      </c>
      <c r="S3" s="5">
        <f xml:space="preserve"> Time!S$16</f>
        <v>10</v>
      </c>
    </row>
    <row r="4" spans="1:19" s="30" customFormat="1">
      <c r="A4" s="40"/>
      <c r="B4" s="40"/>
      <c r="C4" s="79"/>
      <c r="D4" s="82"/>
      <c r="E4" s="17" t="s">
        <v>179</v>
      </c>
      <c r="F4" s="20"/>
      <c r="G4" s="17"/>
      <c r="H4" s="17"/>
      <c r="I4" s="17"/>
    </row>
    <row r="5" spans="1:19" s="32" customFormat="1">
      <c r="A5" s="40"/>
      <c r="B5" s="40"/>
      <c r="C5" s="79"/>
      <c r="D5" s="82"/>
      <c r="E5" s="17" t="s">
        <v>165</v>
      </c>
      <c r="F5" s="20" t="s">
        <v>129</v>
      </c>
      <c r="G5" s="20" t="s">
        <v>118</v>
      </c>
      <c r="H5" s="20" t="s">
        <v>106</v>
      </c>
      <c r="I5" s="17"/>
      <c r="J5" s="8"/>
      <c r="K5" s="8"/>
      <c r="L5" s="8"/>
      <c r="M5" s="8"/>
      <c r="N5" s="8"/>
      <c r="O5" s="8"/>
    </row>
    <row r="6" spans="1:19" s="37" customFormat="1">
      <c r="A6" s="20"/>
      <c r="B6" s="20"/>
      <c r="C6" s="47"/>
      <c r="D6" s="87"/>
      <c r="F6" s="20"/>
      <c r="G6" s="20"/>
      <c r="H6" s="20"/>
    </row>
    <row r="9" spans="1:19">
      <c r="B9" s="20" t="s">
        <v>139</v>
      </c>
    </row>
  </sheetData>
  <conditionalFormatting sqref="F2:F3">
    <cfRule type="cellIs" dxfId="77" priority="1" stopIfTrue="1" operator="notEqual">
      <formula>0</formula>
    </cfRule>
    <cfRule type="cellIs" dxfId="76" priority="2" stopIfTrue="1" operator="equal">
      <formula>""</formula>
    </cfRule>
  </conditionalFormatting>
  <conditionalFormatting sqref="J3:S3">
    <cfRule type="cellIs" dxfId="75" priority="8" operator="equal">
      <formula>"PPA ext."</formula>
    </cfRule>
    <cfRule type="cellIs" dxfId="74" priority="9" operator="equal">
      <formula>"Delay"</formula>
    </cfRule>
    <cfRule type="cellIs" dxfId="73" priority="10" operator="equal">
      <formula>"Fin Close"</formula>
    </cfRule>
    <cfRule type="cellIs" dxfId="72" priority="11" stopIfTrue="1" operator="equal">
      <formula>"Construction"</formula>
    </cfRule>
    <cfRule type="cellIs" dxfId="71" priority="12" stopIfTrue="1" operator="equal">
      <formula>"Operations"</formula>
    </cfRule>
  </conditionalFormatting>
  <printOptions headings="1"/>
  <pageMargins left="0.74803149606299213" right="0.74803149606299213" top="0.98425196850393704" bottom="0.98425196850393704" header="0.51181102362204722" footer="0.51181102362204722"/>
  <pageSetup paperSize="9" scale="49" orientation="landscape" blackAndWhite="1"/>
  <headerFooter>
    <oddHeader>&amp;LPROJECT [XXX]&amp;CSheet:&amp;A&amp;RSTRICTLY CONFIDENTIAL</oddHeader>
    <oddFooter>&amp;L&amp;F ( Printed on &amp;D at &amp;T )&amp;RPage &amp;P of &amp;N</oddFooter>
  </headerFooter>
  <customProperties>
    <customPr name="MMGroup" r:id="rId1"/>
    <customPr name="MMSheetType" r:id="rId2"/>
    <customPr name="MMTimeAxis" r:id="rId3"/>
  </customPropertie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S190"/>
  <sheetViews>
    <sheetView showGridLines="0" defaultGridColor="0" colorId="22" zoomScale="80" workbookViewId="0">
      <pane xSplit="9" ySplit="5" topLeftCell="J6" activePane="bottomRight" state="frozen"/>
      <selection activeCell="J6" sqref="J6"/>
      <selection pane="topRight" activeCell="J6" sqref="J6"/>
      <selection pane="bottomLeft" activeCell="J6" sqref="J6"/>
      <selection pane="bottomRight" activeCell="J6" sqref="J6"/>
    </sheetView>
  </sheetViews>
  <sheetFormatPr defaultColWidth="0" defaultRowHeight="13" outlineLevelRow="2"/>
  <cols>
    <col min="1" max="2" width="1.44140625" style="20" customWidth="1"/>
    <col min="3" max="3" width="1.44140625" style="47" customWidth="1"/>
    <col min="4" max="4" width="1.44140625" style="86" customWidth="1"/>
    <col min="5" max="5" width="45.5546875" style="48" bestFit="1" customWidth="1"/>
    <col min="6" max="6" width="20.88671875" style="48" bestFit="1" customWidth="1"/>
    <col min="7" max="7" width="13.21875" style="48" bestFit="1" customWidth="1"/>
    <col min="8" max="8" width="14.33203125" style="48" bestFit="1" customWidth="1"/>
    <col min="9" max="9" width="3.44140625" style="48" customWidth="1"/>
    <col min="10" max="12" width="12.33203125" style="48" bestFit="1" customWidth="1"/>
    <col min="13" max="16" width="13" style="48" bestFit="1" customWidth="1"/>
    <col min="17" max="19" width="12.33203125" style="48" bestFit="1" customWidth="1"/>
    <col min="20" max="20" width="15.109375" style="48" hidden="1" customWidth="1"/>
    <col min="21" max="16384" width="15.109375" style="48" hidden="1"/>
  </cols>
  <sheetData>
    <row r="1" spans="1:19" s="56" customFormat="1" ht="25">
      <c r="A1" s="46" t="str">
        <f ca="1" xml:space="preserve"> RIGHT(CELL("filename", A1), LEN(CELL("filename", A1)) - SEARCH("]", CELL("filename", A1)))</f>
        <v>Company Capital Structure</v>
      </c>
      <c r="B1" s="77"/>
      <c r="C1" s="78"/>
      <c r="D1" s="90"/>
      <c r="F1" s="49" t="str">
        <f>HYPERLINK("#Contents!A1","Go to contents")</f>
        <v>Go to contents</v>
      </c>
      <c r="H1" s="42"/>
      <c r="J1" s="42"/>
    </row>
    <row r="2" spans="1:19" s="50" customFormat="1">
      <c r="A2" s="40"/>
      <c r="B2" s="40"/>
      <c r="C2" s="79"/>
      <c r="D2" s="82"/>
      <c r="E2" s="17" t="s">
        <v>178</v>
      </c>
      <c r="F2" s="51">
        <v>0</v>
      </c>
      <c r="G2" s="52" t="s">
        <v>72</v>
      </c>
      <c r="H2" s="17"/>
      <c r="I2" s="17"/>
      <c r="J2" s="4">
        <f xml:space="preserve"> Time!J$12</f>
        <v>45535</v>
      </c>
      <c r="K2" s="4">
        <f xml:space="preserve"> Time!K$12</f>
        <v>45900</v>
      </c>
      <c r="L2" s="4">
        <f xml:space="preserve"> Time!L$12</f>
        <v>46265</v>
      </c>
      <c r="M2" s="4">
        <f xml:space="preserve"> Time!M$12</f>
        <v>46630</v>
      </c>
      <c r="N2" s="4">
        <f xml:space="preserve"> Time!N$12</f>
        <v>46996</v>
      </c>
      <c r="O2" s="4">
        <f xml:space="preserve"> Time!O$12</f>
        <v>47361</v>
      </c>
      <c r="P2" s="4">
        <f xml:space="preserve"> Time!P$12</f>
        <v>47726</v>
      </c>
      <c r="Q2" s="4">
        <f xml:space="preserve"> Time!Q$12</f>
        <v>48091</v>
      </c>
      <c r="R2" s="4">
        <f xml:space="preserve"> Time!R$12</f>
        <v>48457</v>
      </c>
      <c r="S2" s="4">
        <f xml:space="preserve"> Time!S$12</f>
        <v>48822</v>
      </c>
    </row>
    <row r="3" spans="1:19" s="32" customFormat="1">
      <c r="A3" s="40"/>
      <c r="B3" s="40"/>
      <c r="C3" s="79"/>
      <c r="D3" s="82"/>
      <c r="E3" s="37" t="s">
        <v>107</v>
      </c>
      <c r="F3" s="51"/>
      <c r="G3" s="52" t="s">
        <v>45</v>
      </c>
      <c r="H3" s="17"/>
      <c r="I3" s="17"/>
      <c r="J3" s="5">
        <f xml:space="preserve"> Time!J$16</f>
        <v>1</v>
      </c>
      <c r="K3" s="5">
        <f xml:space="preserve"> Time!K$16</f>
        <v>2</v>
      </c>
      <c r="L3" s="5">
        <f xml:space="preserve"> Time!L$16</f>
        <v>3</v>
      </c>
      <c r="M3" s="5">
        <f xml:space="preserve"> Time!M$16</f>
        <v>4</v>
      </c>
      <c r="N3" s="5">
        <f xml:space="preserve"> Time!N$16</f>
        <v>5</v>
      </c>
      <c r="O3" s="5">
        <f xml:space="preserve"> Time!O$16</f>
        <v>6</v>
      </c>
      <c r="P3" s="5">
        <f xml:space="preserve"> Time!P$16</f>
        <v>7</v>
      </c>
      <c r="Q3" s="5">
        <f xml:space="preserve"> Time!Q$16</f>
        <v>8</v>
      </c>
      <c r="R3" s="5">
        <f xml:space="preserve"> Time!R$16</f>
        <v>9</v>
      </c>
      <c r="S3" s="5">
        <f xml:space="preserve"> Time!S$16</f>
        <v>10</v>
      </c>
    </row>
    <row r="4" spans="1:19" s="30" customFormat="1">
      <c r="A4" s="40"/>
      <c r="B4" s="40"/>
      <c r="C4" s="79"/>
      <c r="D4" s="82"/>
      <c r="E4" s="17" t="s">
        <v>179</v>
      </c>
      <c r="F4" s="20"/>
      <c r="G4" s="17"/>
      <c r="H4" s="17"/>
      <c r="I4" s="17"/>
    </row>
    <row r="5" spans="1:19" s="32" customFormat="1">
      <c r="A5" s="40"/>
      <c r="B5" s="40"/>
      <c r="C5" s="79"/>
      <c r="D5" s="82"/>
      <c r="E5" s="17" t="s">
        <v>165</v>
      </c>
      <c r="F5" s="20" t="s">
        <v>129</v>
      </c>
      <c r="G5" s="20" t="s">
        <v>118</v>
      </c>
      <c r="H5" s="20" t="s">
        <v>106</v>
      </c>
      <c r="I5" s="17"/>
      <c r="J5" s="8"/>
      <c r="K5" s="8"/>
      <c r="L5" s="8"/>
      <c r="M5" s="8"/>
      <c r="N5" s="8"/>
      <c r="O5" s="8"/>
    </row>
    <row r="6" spans="1:19" s="37" customFormat="1">
      <c r="A6" s="20"/>
      <c r="B6" s="20"/>
      <c r="C6" s="47"/>
      <c r="D6" s="87"/>
      <c r="F6" s="20"/>
      <c r="G6" s="20"/>
      <c r="H6" s="20"/>
    </row>
    <row r="8" spans="1:19">
      <c r="A8" s="20" t="s">
        <v>4</v>
      </c>
    </row>
    <row r="9" spans="1:19" outlineLevel="1">
      <c r="B9" s="20" t="s">
        <v>36</v>
      </c>
    </row>
    <row r="10" spans="1:19" s="64" customFormat="1" outlineLevel="1">
      <c r="A10" s="33"/>
      <c r="B10" s="33"/>
      <c r="C10" s="62"/>
      <c r="D10" s="58"/>
      <c r="E10" s="130" t="str">
        <f xml:space="preserve">  InpC!E$24</f>
        <v>Opening Loan Note</v>
      </c>
      <c r="F10" s="130">
        <f xml:space="preserve">  InpC!F$24</f>
        <v>0</v>
      </c>
      <c r="G10" s="130" t="str">
        <f xml:space="preserve">  InpC!G$24</f>
        <v>GBP</v>
      </c>
      <c r="M10" s="232"/>
    </row>
    <row r="11" spans="1:19" outlineLevel="1">
      <c r="A11" s="18"/>
      <c r="B11" s="18"/>
      <c r="C11" s="28"/>
      <c r="D11" s="29"/>
      <c r="E11" s="9" t="str">
        <f xml:space="preserve">  Time!E$16</f>
        <v>Period number</v>
      </c>
      <c r="F11" s="9">
        <f xml:space="preserve">  Time!F$16</f>
        <v>0</v>
      </c>
      <c r="G11" s="9" t="str">
        <f xml:space="preserve">  Time!G$16</f>
        <v>Counter</v>
      </c>
      <c r="H11" s="9">
        <f xml:space="preserve">  Time!H$16</f>
        <v>0</v>
      </c>
      <c r="I11" s="9">
        <f xml:space="preserve">  Time!I$16</f>
        <v>0</v>
      </c>
      <c r="J11" s="9">
        <f xml:space="preserve">  Time!J$16</f>
        <v>1</v>
      </c>
      <c r="K11" s="9">
        <f xml:space="preserve">  Time!K$16</f>
        <v>2</v>
      </c>
      <c r="L11" s="9">
        <f xml:space="preserve">  Time!L$16</f>
        <v>3</v>
      </c>
      <c r="M11" s="9">
        <f xml:space="preserve">  Time!M$16</f>
        <v>4</v>
      </c>
      <c r="N11" s="9">
        <f xml:space="preserve">  Time!N$16</f>
        <v>5</v>
      </c>
      <c r="O11" s="9">
        <f xml:space="preserve">  Time!O$16</f>
        <v>6</v>
      </c>
      <c r="P11" s="9">
        <f xml:space="preserve">  Time!P$16</f>
        <v>7</v>
      </c>
      <c r="Q11" s="9">
        <f xml:space="preserve">  Time!Q$16</f>
        <v>8</v>
      </c>
      <c r="R11" s="9">
        <f xml:space="preserve">  Time!R$16</f>
        <v>9</v>
      </c>
      <c r="S11" s="9">
        <f xml:space="preserve">  Time!S$16</f>
        <v>10</v>
      </c>
    </row>
    <row r="12" spans="1:19" outlineLevel="1">
      <c r="E12" s="48" t="s">
        <v>96</v>
      </c>
      <c r="G12" s="48" t="s">
        <v>132</v>
      </c>
      <c r="J12" s="2">
        <f t="shared" ref="J12:S12" si="0" xml:space="preserve">  I14</f>
        <v>0</v>
      </c>
      <c r="K12" s="2">
        <f t="shared" si="0"/>
        <v>150000</v>
      </c>
      <c r="L12" s="2">
        <f t="shared" si="0"/>
        <v>500000</v>
      </c>
      <c r="M12" s="2">
        <f t="shared" si="0"/>
        <v>1250000</v>
      </c>
      <c r="N12" s="2">
        <f t="shared" si="0"/>
        <v>2750000</v>
      </c>
      <c r="O12" s="2">
        <f t="shared" si="0"/>
        <v>2750000</v>
      </c>
      <c r="P12" s="2">
        <f t="shared" si="0"/>
        <v>2750000</v>
      </c>
      <c r="Q12" s="2">
        <f t="shared" si="0"/>
        <v>2750000</v>
      </c>
      <c r="R12" s="2">
        <f t="shared" si="0"/>
        <v>2750000</v>
      </c>
      <c r="S12" s="2">
        <f t="shared" si="0"/>
        <v>2750000</v>
      </c>
    </row>
    <row r="13" spans="1:19" outlineLevel="1">
      <c r="A13" s="18"/>
      <c r="B13" s="18"/>
      <c r="C13" s="28"/>
      <c r="D13" s="29" t="s">
        <v>112</v>
      </c>
      <c r="E13" s="3" t="str">
        <f xml:space="preserve">  InpS!E$13</f>
        <v>New Company Loan Note</v>
      </c>
      <c r="F13" s="3">
        <f xml:space="preserve">  InpS!F$13</f>
        <v>0</v>
      </c>
      <c r="G13" s="3" t="str">
        <f xml:space="preserve">  InpS!G$13</f>
        <v>GBP</v>
      </c>
      <c r="H13" s="3">
        <f xml:space="preserve">  InpS!H$13</f>
        <v>2750000</v>
      </c>
      <c r="I13" s="3">
        <f xml:space="preserve">  InpS!I$13</f>
        <v>0</v>
      </c>
      <c r="J13" s="3">
        <f xml:space="preserve">  InpS!J$13</f>
        <v>150000</v>
      </c>
      <c r="K13" s="3">
        <f xml:space="preserve">  InpS!K$13</f>
        <v>350000</v>
      </c>
      <c r="L13" s="3">
        <f xml:space="preserve">  InpS!L$13</f>
        <v>750000</v>
      </c>
      <c r="M13" s="3">
        <f xml:space="preserve">  InpS!M$13</f>
        <v>1500000</v>
      </c>
      <c r="N13" s="3">
        <f xml:space="preserve">  InpS!N$13</f>
        <v>0</v>
      </c>
      <c r="O13" s="3">
        <f xml:space="preserve">  InpS!O$13</f>
        <v>0</v>
      </c>
      <c r="P13" s="3">
        <f xml:space="preserve">  InpS!P$13</f>
        <v>0</v>
      </c>
      <c r="Q13" s="3">
        <f xml:space="preserve">  InpS!Q$13</f>
        <v>0</v>
      </c>
      <c r="R13" s="3">
        <f xml:space="preserve">  InpS!R$13</f>
        <v>0</v>
      </c>
      <c r="S13" s="3">
        <f xml:space="preserve">  InpS!S$13</f>
        <v>0</v>
      </c>
    </row>
    <row r="14" spans="1:19" s="59" customFormat="1" outlineLevel="1">
      <c r="A14" s="35"/>
      <c r="B14" s="35"/>
      <c r="C14" s="60"/>
      <c r="D14" s="63"/>
      <c r="E14" s="22" t="s">
        <v>36</v>
      </c>
      <c r="F14" s="22"/>
      <c r="G14" s="22" t="s">
        <v>132</v>
      </c>
      <c r="H14" s="22"/>
      <c r="I14" s="34">
        <f t="shared" ref="I14:S14" si="1" xml:space="preserve">  IF( I11 = 0, $F10, I12 + I13 )</f>
        <v>0</v>
      </c>
      <c r="J14" s="34">
        <f t="shared" si="1"/>
        <v>150000</v>
      </c>
      <c r="K14" s="34">
        <f t="shared" si="1"/>
        <v>500000</v>
      </c>
      <c r="L14" s="34">
        <f t="shared" si="1"/>
        <v>1250000</v>
      </c>
      <c r="M14" s="34">
        <f t="shared" si="1"/>
        <v>2750000</v>
      </c>
      <c r="N14" s="34">
        <f t="shared" si="1"/>
        <v>2750000</v>
      </c>
      <c r="O14" s="34">
        <f t="shared" si="1"/>
        <v>2750000</v>
      </c>
      <c r="P14" s="34">
        <f t="shared" si="1"/>
        <v>2750000</v>
      </c>
      <c r="Q14" s="34">
        <f t="shared" si="1"/>
        <v>2750000</v>
      </c>
      <c r="R14" s="34">
        <f t="shared" si="1"/>
        <v>2750000</v>
      </c>
      <c r="S14" s="34">
        <f t="shared" si="1"/>
        <v>2750000</v>
      </c>
    </row>
    <row r="16" spans="1:19">
      <c r="A16" s="20" t="s">
        <v>63</v>
      </c>
    </row>
    <row r="17" spans="1:19" outlineLevel="1">
      <c r="B17" s="20" t="s">
        <v>145</v>
      </c>
    </row>
    <row r="18" spans="1:19" outlineLevel="2">
      <c r="A18" s="18"/>
      <c r="B18" s="18"/>
      <c r="C18" s="28"/>
      <c r="D18" s="29"/>
      <c r="E18" s="3" t="str">
        <f xml:space="preserve">  InpS!E$16</f>
        <v>New Capital From Sector Cofounder</v>
      </c>
      <c r="F18" s="3">
        <f xml:space="preserve">  InpS!F$16</f>
        <v>0</v>
      </c>
      <c r="G18" s="3" t="str">
        <f xml:space="preserve">  InpS!G$16</f>
        <v>GBP</v>
      </c>
      <c r="H18" s="3">
        <f xml:space="preserve">  InpS!H$16</f>
        <v>0</v>
      </c>
      <c r="I18" s="3">
        <f xml:space="preserve">  InpS!I$16</f>
        <v>0</v>
      </c>
      <c r="J18" s="3">
        <f xml:space="preserve">  InpS!J$16</f>
        <v>0</v>
      </c>
      <c r="K18" s="3">
        <f xml:space="preserve">  InpS!K$16</f>
        <v>0</v>
      </c>
      <c r="L18" s="3">
        <f xml:space="preserve">  InpS!L$16</f>
        <v>0</v>
      </c>
      <c r="M18" s="3">
        <f xml:space="preserve">  InpS!M$16</f>
        <v>0</v>
      </c>
      <c r="N18" s="3">
        <f xml:space="preserve">  InpS!N$16</f>
        <v>0</v>
      </c>
      <c r="O18" s="3">
        <f xml:space="preserve">  InpS!O$16</f>
        <v>0</v>
      </c>
      <c r="P18" s="3">
        <f xml:space="preserve">  InpS!P$16</f>
        <v>0</v>
      </c>
      <c r="Q18" s="3">
        <f xml:space="preserve">  InpS!Q$16</f>
        <v>0</v>
      </c>
      <c r="R18" s="3">
        <f xml:space="preserve">  InpS!R$16</f>
        <v>0</v>
      </c>
      <c r="S18" s="3">
        <f xml:space="preserve">  InpS!S$16</f>
        <v>0</v>
      </c>
    </row>
    <row r="19" spans="1:19" outlineLevel="2">
      <c r="A19" s="18"/>
      <c r="B19" s="18"/>
      <c r="C19" s="28"/>
      <c r="D19" s="29"/>
      <c r="E19" s="3" t="str">
        <f xml:space="preserve">  InpS!E$17</f>
        <v>New Capital From Studio Cofounder</v>
      </c>
      <c r="F19" s="3">
        <f xml:space="preserve">  InpS!F$17</f>
        <v>0</v>
      </c>
      <c r="G19" s="3" t="str">
        <f xml:space="preserve">  InpS!G$17</f>
        <v>GBP</v>
      </c>
      <c r="H19" s="3">
        <f xml:space="preserve">  InpS!H$17</f>
        <v>0</v>
      </c>
      <c r="I19" s="3">
        <f xml:space="preserve">  InpS!I$17</f>
        <v>0</v>
      </c>
      <c r="J19" s="3">
        <f xml:space="preserve">  InpS!J$17</f>
        <v>0</v>
      </c>
      <c r="K19" s="3">
        <f xml:space="preserve">  InpS!K$17</f>
        <v>0</v>
      </c>
      <c r="L19" s="3">
        <f xml:space="preserve">  InpS!L$17</f>
        <v>0</v>
      </c>
      <c r="M19" s="3">
        <f xml:space="preserve">  InpS!M$17</f>
        <v>0</v>
      </c>
      <c r="N19" s="3">
        <f xml:space="preserve">  InpS!N$17</f>
        <v>0</v>
      </c>
      <c r="O19" s="3">
        <f xml:space="preserve">  InpS!O$17</f>
        <v>0</v>
      </c>
      <c r="P19" s="3">
        <f xml:space="preserve">  InpS!P$17</f>
        <v>0</v>
      </c>
      <c r="Q19" s="3">
        <f xml:space="preserve">  InpS!Q$17</f>
        <v>0</v>
      </c>
      <c r="R19" s="3">
        <f xml:space="preserve">  InpS!R$17</f>
        <v>0</v>
      </c>
      <c r="S19" s="3">
        <f xml:space="preserve">  InpS!S$17</f>
        <v>0</v>
      </c>
    </row>
    <row r="20" spans="1:19" outlineLevel="2">
      <c r="A20" s="18"/>
      <c r="B20" s="18"/>
      <c r="C20" s="28"/>
      <c r="D20" s="29"/>
      <c r="E20" s="3" t="str">
        <f xml:space="preserve">  InpS!E$18</f>
        <v>New Capital From Investor Cofounder</v>
      </c>
      <c r="F20" s="3">
        <f xml:space="preserve">  InpS!F$18</f>
        <v>0</v>
      </c>
      <c r="G20" s="3" t="str">
        <f xml:space="preserve">  InpS!G$18</f>
        <v>GBP</v>
      </c>
      <c r="H20" s="3">
        <f xml:space="preserve">  InpS!H$18</f>
        <v>0</v>
      </c>
      <c r="I20" s="3">
        <f xml:space="preserve">  InpS!I$18</f>
        <v>0</v>
      </c>
      <c r="J20" s="3">
        <f xml:space="preserve">  InpS!J$18</f>
        <v>0</v>
      </c>
      <c r="K20" s="3">
        <f xml:space="preserve">  InpS!K$18</f>
        <v>0</v>
      </c>
      <c r="L20" s="3">
        <f xml:space="preserve">  InpS!L$18</f>
        <v>0</v>
      </c>
      <c r="M20" s="3">
        <f xml:space="preserve">  InpS!M$18</f>
        <v>0</v>
      </c>
      <c r="N20" s="3">
        <f xml:space="preserve">  InpS!N$18</f>
        <v>0</v>
      </c>
      <c r="O20" s="3">
        <f xml:space="preserve">  InpS!O$18</f>
        <v>0</v>
      </c>
      <c r="P20" s="3">
        <f xml:space="preserve">  InpS!P$18</f>
        <v>0</v>
      </c>
      <c r="Q20" s="3">
        <f xml:space="preserve">  InpS!Q$18</f>
        <v>0</v>
      </c>
      <c r="R20" s="3">
        <f xml:space="preserve">  InpS!R$18</f>
        <v>0</v>
      </c>
      <c r="S20" s="3">
        <f xml:space="preserve">  InpS!S$18</f>
        <v>0</v>
      </c>
    </row>
    <row r="21" spans="1:19" outlineLevel="2">
      <c r="A21" s="18"/>
      <c r="B21" s="18"/>
      <c r="C21" s="28"/>
      <c r="D21" s="29"/>
      <c r="E21" s="3" t="str">
        <f xml:space="preserve">  InpS!E$19</f>
        <v>New Capital From Other Investor</v>
      </c>
      <c r="F21" s="3">
        <f xml:space="preserve">  InpS!F$19</f>
        <v>0</v>
      </c>
      <c r="G21" s="3" t="str">
        <f xml:space="preserve">  InpS!G$19</f>
        <v>GBP</v>
      </c>
      <c r="H21" s="3">
        <f xml:space="preserve">  InpS!H$19</f>
        <v>2500000</v>
      </c>
      <c r="I21" s="3">
        <f xml:space="preserve">  InpS!I$19</f>
        <v>0</v>
      </c>
      <c r="J21" s="3">
        <f xml:space="preserve">  InpS!J$19</f>
        <v>0</v>
      </c>
      <c r="K21" s="3">
        <f xml:space="preserve">  InpS!K$19</f>
        <v>250000</v>
      </c>
      <c r="L21" s="3">
        <f xml:space="preserve">  InpS!L$19</f>
        <v>750000</v>
      </c>
      <c r="M21" s="3">
        <f xml:space="preserve">  InpS!M$19</f>
        <v>1500000</v>
      </c>
      <c r="N21" s="3">
        <f xml:space="preserve">  InpS!N$19</f>
        <v>0</v>
      </c>
      <c r="O21" s="3">
        <f xml:space="preserve">  InpS!O$19</f>
        <v>0</v>
      </c>
      <c r="P21" s="3">
        <f xml:space="preserve">  InpS!P$19</f>
        <v>0</v>
      </c>
      <c r="Q21" s="3">
        <f xml:space="preserve">  InpS!Q$19</f>
        <v>0</v>
      </c>
      <c r="R21" s="3">
        <f xml:space="preserve">  InpS!R$19</f>
        <v>0</v>
      </c>
      <c r="S21" s="3">
        <f xml:space="preserve">  InpS!S$19</f>
        <v>0</v>
      </c>
    </row>
    <row r="22" spans="1:19" outlineLevel="2">
      <c r="A22" s="24"/>
      <c r="B22" s="24"/>
      <c r="C22" s="45"/>
      <c r="D22" s="43"/>
      <c r="E22" s="14" t="s">
        <v>145</v>
      </c>
      <c r="F22" s="14"/>
      <c r="G22" s="14" t="s">
        <v>132</v>
      </c>
      <c r="H22" s="6">
        <f xml:space="preserve"> SUM( J22:S22 )</f>
        <v>2500000</v>
      </c>
      <c r="I22" s="14"/>
      <c r="J22" s="6">
        <f t="shared" ref="J22:S22" si="2" xml:space="preserve">  J18 + J19 + J20 + J21</f>
        <v>0</v>
      </c>
      <c r="K22" s="6">
        <f t="shared" si="2"/>
        <v>250000</v>
      </c>
      <c r="L22" s="6">
        <f t="shared" si="2"/>
        <v>750000</v>
      </c>
      <c r="M22" s="6">
        <f t="shared" si="2"/>
        <v>1500000</v>
      </c>
      <c r="N22" s="6">
        <f t="shared" si="2"/>
        <v>0</v>
      </c>
      <c r="O22" s="6">
        <f t="shared" si="2"/>
        <v>0</v>
      </c>
      <c r="P22" s="6">
        <f t="shared" si="2"/>
        <v>0</v>
      </c>
      <c r="Q22" s="6">
        <f t="shared" si="2"/>
        <v>0</v>
      </c>
      <c r="R22" s="6">
        <f t="shared" si="2"/>
        <v>0</v>
      </c>
      <c r="S22" s="6">
        <f t="shared" si="2"/>
        <v>0</v>
      </c>
    </row>
    <row r="23" spans="1:19" outlineLevel="1"/>
    <row r="24" spans="1:19" outlineLevel="1"/>
    <row r="25" spans="1:19" outlineLevel="1">
      <c r="B25" s="20" t="s">
        <v>103</v>
      </c>
    </row>
    <row r="26" spans="1:19" outlineLevel="2">
      <c r="E26" s="2" t="str">
        <f t="shared" ref="E26:S26" si="3" xml:space="preserve">  E$22</f>
        <v>Total New Capital Raised From Equity</v>
      </c>
      <c r="F26" s="2">
        <f t="shared" si="3"/>
        <v>0</v>
      </c>
      <c r="G26" s="2" t="str">
        <f t="shared" si="3"/>
        <v>GBP</v>
      </c>
      <c r="H26" s="2">
        <f t="shared" si="3"/>
        <v>2500000</v>
      </c>
      <c r="I26" s="2">
        <f t="shared" si="3"/>
        <v>0</v>
      </c>
      <c r="J26" s="2">
        <f t="shared" si="3"/>
        <v>0</v>
      </c>
      <c r="K26" s="2">
        <f t="shared" si="3"/>
        <v>250000</v>
      </c>
      <c r="L26" s="2">
        <f t="shared" si="3"/>
        <v>750000</v>
      </c>
      <c r="M26" s="2">
        <f t="shared" si="3"/>
        <v>1500000</v>
      </c>
      <c r="N26" s="2">
        <f t="shared" si="3"/>
        <v>0</v>
      </c>
      <c r="O26" s="2">
        <f t="shared" si="3"/>
        <v>0</v>
      </c>
      <c r="P26" s="2">
        <f t="shared" si="3"/>
        <v>0</v>
      </c>
      <c r="Q26" s="2">
        <f t="shared" si="3"/>
        <v>0</v>
      </c>
      <c r="R26" s="2">
        <f t="shared" si="3"/>
        <v>0</v>
      </c>
      <c r="S26" s="2">
        <f t="shared" si="3"/>
        <v>0</v>
      </c>
    </row>
    <row r="27" spans="1:19" outlineLevel="2">
      <c r="A27" s="18"/>
      <c r="B27" s="18"/>
      <c r="C27" s="28"/>
      <c r="D27" s="29"/>
      <c r="E27" s="3" t="str">
        <f xml:space="preserve">  InpS!E$16</f>
        <v>New Capital From Sector Cofounder</v>
      </c>
      <c r="F27" s="3">
        <f xml:space="preserve">  InpS!F$16</f>
        <v>0</v>
      </c>
      <c r="G27" s="3" t="str">
        <f xml:space="preserve">  InpS!G$16</f>
        <v>GBP</v>
      </c>
      <c r="H27" s="3">
        <f xml:space="preserve">  InpS!H$16</f>
        <v>0</v>
      </c>
      <c r="I27" s="3">
        <f xml:space="preserve">  InpS!I$16</f>
        <v>0</v>
      </c>
      <c r="J27" s="3">
        <f xml:space="preserve">  InpS!J$16</f>
        <v>0</v>
      </c>
      <c r="K27" s="3">
        <f xml:space="preserve">  InpS!K$16</f>
        <v>0</v>
      </c>
      <c r="L27" s="3">
        <f xml:space="preserve">  InpS!L$16</f>
        <v>0</v>
      </c>
      <c r="M27" s="3">
        <f xml:space="preserve">  InpS!M$16</f>
        <v>0</v>
      </c>
      <c r="N27" s="3">
        <f xml:space="preserve">  InpS!N$16</f>
        <v>0</v>
      </c>
      <c r="O27" s="3">
        <f xml:space="preserve">  InpS!O$16</f>
        <v>0</v>
      </c>
      <c r="P27" s="3">
        <f xml:space="preserve">  InpS!P$16</f>
        <v>0</v>
      </c>
      <c r="Q27" s="3">
        <f xml:space="preserve">  InpS!Q$16</f>
        <v>0</v>
      </c>
      <c r="R27" s="3">
        <f xml:space="preserve">  InpS!R$16</f>
        <v>0</v>
      </c>
      <c r="S27" s="3">
        <f xml:space="preserve">  InpS!S$16</f>
        <v>0</v>
      </c>
    </row>
    <row r="28" spans="1:19" outlineLevel="2">
      <c r="E28" s="2" t="str">
        <f t="shared" ref="E28:S28" si="4" xml:space="preserve">  E$114</f>
        <v>Price per Share</v>
      </c>
      <c r="F28" s="2">
        <f t="shared" si="4"/>
        <v>0</v>
      </c>
      <c r="G28" s="2" t="str">
        <f t="shared" si="4"/>
        <v>GBP</v>
      </c>
      <c r="H28" s="2">
        <f t="shared" si="4"/>
        <v>52340.910090909092</v>
      </c>
      <c r="I28" s="2">
        <f t="shared" si="4"/>
        <v>0</v>
      </c>
      <c r="J28" s="2">
        <f t="shared" si="4"/>
        <v>1E-3</v>
      </c>
      <c r="K28" s="2">
        <f t="shared" si="4"/>
        <v>2500</v>
      </c>
      <c r="L28" s="2">
        <f t="shared" si="4"/>
        <v>3863.6363636363635</v>
      </c>
      <c r="M28" s="2">
        <f t="shared" si="4"/>
        <v>6568.1818181818189</v>
      </c>
      <c r="N28" s="2">
        <f t="shared" si="4"/>
        <v>6568.1818181818189</v>
      </c>
      <c r="O28" s="2">
        <f t="shared" si="4"/>
        <v>6568.1818181818189</v>
      </c>
      <c r="P28" s="2">
        <f t="shared" si="4"/>
        <v>6568.1818181818189</v>
      </c>
      <c r="Q28" s="2">
        <f t="shared" si="4"/>
        <v>6568.1818181818189</v>
      </c>
      <c r="R28" s="2">
        <f t="shared" si="4"/>
        <v>6568.1818181818189</v>
      </c>
      <c r="S28" s="2">
        <f t="shared" si="4"/>
        <v>6568.1818181818189</v>
      </c>
    </row>
    <row r="29" spans="1:19" outlineLevel="2">
      <c r="E29" s="48" t="s">
        <v>103</v>
      </c>
      <c r="G29" s="48" t="s">
        <v>59</v>
      </c>
      <c r="H29" s="1">
        <f xml:space="preserve"> SUM( J29:S29 )</f>
        <v>0</v>
      </c>
      <c r="J29" s="1">
        <f t="shared" ref="J29:S29" si="5" xml:space="preserve">  IF( J26 &gt; 0, J27 / J28, 0 )</f>
        <v>0</v>
      </c>
      <c r="K29" s="1">
        <f t="shared" si="5"/>
        <v>0</v>
      </c>
      <c r="L29" s="1">
        <f t="shared" si="5"/>
        <v>0</v>
      </c>
      <c r="M29" s="1">
        <f t="shared" si="5"/>
        <v>0</v>
      </c>
      <c r="N29" s="1">
        <f t="shared" si="5"/>
        <v>0</v>
      </c>
      <c r="O29" s="1">
        <f t="shared" si="5"/>
        <v>0</v>
      </c>
      <c r="P29" s="1">
        <f t="shared" si="5"/>
        <v>0</v>
      </c>
      <c r="Q29" s="1">
        <f t="shared" si="5"/>
        <v>0</v>
      </c>
      <c r="R29" s="1">
        <f t="shared" si="5"/>
        <v>0</v>
      </c>
      <c r="S29" s="1">
        <f t="shared" si="5"/>
        <v>0</v>
      </c>
    </row>
    <row r="30" spans="1:19" outlineLevel="1"/>
    <row r="31" spans="1:19" outlineLevel="1"/>
    <row r="32" spans="1:19" outlineLevel="1">
      <c r="B32" s="20" t="s">
        <v>180</v>
      </c>
    </row>
    <row r="33" spans="1:19" outlineLevel="2">
      <c r="E33" s="2" t="str">
        <f t="shared" ref="E33:S33" si="6" xml:space="preserve">  E$22</f>
        <v>Total New Capital Raised From Equity</v>
      </c>
      <c r="F33" s="2">
        <f t="shared" si="6"/>
        <v>0</v>
      </c>
      <c r="G33" s="2" t="str">
        <f t="shared" si="6"/>
        <v>GBP</v>
      </c>
      <c r="H33" s="2">
        <f t="shared" si="6"/>
        <v>2500000</v>
      </c>
      <c r="I33" s="2">
        <f t="shared" si="6"/>
        <v>0</v>
      </c>
      <c r="J33" s="2">
        <f t="shared" si="6"/>
        <v>0</v>
      </c>
      <c r="K33" s="2">
        <f t="shared" si="6"/>
        <v>250000</v>
      </c>
      <c r="L33" s="2">
        <f t="shared" si="6"/>
        <v>750000</v>
      </c>
      <c r="M33" s="2">
        <f t="shared" si="6"/>
        <v>1500000</v>
      </c>
      <c r="N33" s="2">
        <f t="shared" si="6"/>
        <v>0</v>
      </c>
      <c r="O33" s="2">
        <f t="shared" si="6"/>
        <v>0</v>
      </c>
      <c r="P33" s="2">
        <f t="shared" si="6"/>
        <v>0</v>
      </c>
      <c r="Q33" s="2">
        <f t="shared" si="6"/>
        <v>0</v>
      </c>
      <c r="R33" s="2">
        <f t="shared" si="6"/>
        <v>0</v>
      </c>
      <c r="S33" s="2">
        <f t="shared" si="6"/>
        <v>0</v>
      </c>
    </row>
    <row r="34" spans="1:19" outlineLevel="2">
      <c r="A34" s="18"/>
      <c r="B34" s="18"/>
      <c r="C34" s="28"/>
      <c r="D34" s="29"/>
      <c r="E34" s="3" t="str">
        <f xml:space="preserve">  InpS!E$17</f>
        <v>New Capital From Studio Cofounder</v>
      </c>
      <c r="F34" s="3">
        <f xml:space="preserve">  InpS!F$17</f>
        <v>0</v>
      </c>
      <c r="G34" s="3" t="str">
        <f xml:space="preserve">  InpS!G$17</f>
        <v>GBP</v>
      </c>
      <c r="H34" s="3">
        <f xml:space="preserve">  InpS!H$17</f>
        <v>0</v>
      </c>
      <c r="I34" s="3">
        <f xml:space="preserve">  InpS!I$17</f>
        <v>0</v>
      </c>
      <c r="J34" s="3">
        <f xml:space="preserve">  InpS!J$17</f>
        <v>0</v>
      </c>
      <c r="K34" s="3">
        <f xml:space="preserve">  InpS!K$17</f>
        <v>0</v>
      </c>
      <c r="L34" s="3">
        <f xml:space="preserve">  InpS!L$17</f>
        <v>0</v>
      </c>
      <c r="M34" s="3">
        <f xml:space="preserve">  InpS!M$17</f>
        <v>0</v>
      </c>
      <c r="N34" s="3">
        <f xml:space="preserve">  InpS!N$17</f>
        <v>0</v>
      </c>
      <c r="O34" s="3">
        <f xml:space="preserve">  InpS!O$17</f>
        <v>0</v>
      </c>
      <c r="P34" s="3">
        <f xml:space="preserve">  InpS!P$17</f>
        <v>0</v>
      </c>
      <c r="Q34" s="3">
        <f xml:space="preserve">  InpS!Q$17</f>
        <v>0</v>
      </c>
      <c r="R34" s="3">
        <f xml:space="preserve">  InpS!R$17</f>
        <v>0</v>
      </c>
      <c r="S34" s="3">
        <f xml:space="preserve">  InpS!S$17</f>
        <v>0</v>
      </c>
    </row>
    <row r="35" spans="1:19" outlineLevel="2">
      <c r="E35" s="2" t="str">
        <f t="shared" ref="E35:S35" si="7" xml:space="preserve">  E$114</f>
        <v>Price per Share</v>
      </c>
      <c r="F35" s="2">
        <f t="shared" si="7"/>
        <v>0</v>
      </c>
      <c r="G35" s="2" t="str">
        <f t="shared" si="7"/>
        <v>GBP</v>
      </c>
      <c r="H35" s="2">
        <f t="shared" si="7"/>
        <v>52340.910090909092</v>
      </c>
      <c r="I35" s="2">
        <f t="shared" si="7"/>
        <v>0</v>
      </c>
      <c r="J35" s="2">
        <f t="shared" si="7"/>
        <v>1E-3</v>
      </c>
      <c r="K35" s="2">
        <f t="shared" si="7"/>
        <v>2500</v>
      </c>
      <c r="L35" s="2">
        <f t="shared" si="7"/>
        <v>3863.6363636363635</v>
      </c>
      <c r="M35" s="2">
        <f t="shared" si="7"/>
        <v>6568.1818181818189</v>
      </c>
      <c r="N35" s="2">
        <f t="shared" si="7"/>
        <v>6568.1818181818189</v>
      </c>
      <c r="O35" s="2">
        <f t="shared" si="7"/>
        <v>6568.1818181818189</v>
      </c>
      <c r="P35" s="2">
        <f t="shared" si="7"/>
        <v>6568.1818181818189</v>
      </c>
      <c r="Q35" s="2">
        <f t="shared" si="7"/>
        <v>6568.1818181818189</v>
      </c>
      <c r="R35" s="2">
        <f t="shared" si="7"/>
        <v>6568.1818181818189</v>
      </c>
      <c r="S35" s="2">
        <f t="shared" si="7"/>
        <v>6568.1818181818189</v>
      </c>
    </row>
    <row r="36" spans="1:19" outlineLevel="2">
      <c r="E36" s="48" t="s">
        <v>180</v>
      </c>
      <c r="G36" s="48" t="s">
        <v>59</v>
      </c>
      <c r="H36" s="1">
        <f xml:space="preserve"> SUM( J36:S36 )</f>
        <v>0</v>
      </c>
      <c r="J36" s="1">
        <f t="shared" ref="J36:S36" si="8" xml:space="preserve">  IF( J33 &gt; 0, J34 / J35, 0 )</f>
        <v>0</v>
      </c>
      <c r="K36" s="1">
        <f t="shared" si="8"/>
        <v>0</v>
      </c>
      <c r="L36" s="1">
        <f t="shared" si="8"/>
        <v>0</v>
      </c>
      <c r="M36" s="1">
        <f t="shared" si="8"/>
        <v>0</v>
      </c>
      <c r="N36" s="1">
        <f t="shared" si="8"/>
        <v>0</v>
      </c>
      <c r="O36" s="1">
        <f t="shared" si="8"/>
        <v>0</v>
      </c>
      <c r="P36" s="1">
        <f t="shared" si="8"/>
        <v>0</v>
      </c>
      <c r="Q36" s="1">
        <f t="shared" si="8"/>
        <v>0</v>
      </c>
      <c r="R36" s="1">
        <f t="shared" si="8"/>
        <v>0</v>
      </c>
      <c r="S36" s="1">
        <f t="shared" si="8"/>
        <v>0</v>
      </c>
    </row>
    <row r="37" spans="1:19" outlineLevel="1"/>
    <row r="38" spans="1:19" outlineLevel="1"/>
    <row r="39" spans="1:19" outlineLevel="1">
      <c r="B39" s="20" t="s">
        <v>79</v>
      </c>
    </row>
    <row r="40" spans="1:19" outlineLevel="2">
      <c r="E40" s="2" t="str">
        <f t="shared" ref="E40:S40" si="9" xml:space="preserve">  E$22</f>
        <v>Total New Capital Raised From Equity</v>
      </c>
      <c r="F40" s="2">
        <f t="shared" si="9"/>
        <v>0</v>
      </c>
      <c r="G40" s="2" t="str">
        <f t="shared" si="9"/>
        <v>GBP</v>
      </c>
      <c r="H40" s="2">
        <f t="shared" si="9"/>
        <v>2500000</v>
      </c>
      <c r="I40" s="2">
        <f t="shared" si="9"/>
        <v>0</v>
      </c>
      <c r="J40" s="2">
        <f t="shared" si="9"/>
        <v>0</v>
      </c>
      <c r="K40" s="2">
        <f t="shared" si="9"/>
        <v>250000</v>
      </c>
      <c r="L40" s="2">
        <f t="shared" si="9"/>
        <v>750000</v>
      </c>
      <c r="M40" s="2">
        <f t="shared" si="9"/>
        <v>1500000</v>
      </c>
      <c r="N40" s="2">
        <f t="shared" si="9"/>
        <v>0</v>
      </c>
      <c r="O40" s="2">
        <f t="shared" si="9"/>
        <v>0</v>
      </c>
      <c r="P40" s="2">
        <f t="shared" si="9"/>
        <v>0</v>
      </c>
      <c r="Q40" s="2">
        <f t="shared" si="9"/>
        <v>0</v>
      </c>
      <c r="R40" s="2">
        <f t="shared" si="9"/>
        <v>0</v>
      </c>
      <c r="S40" s="2">
        <f t="shared" si="9"/>
        <v>0</v>
      </c>
    </row>
    <row r="41" spans="1:19" outlineLevel="2">
      <c r="A41" s="18"/>
      <c r="B41" s="18"/>
      <c r="C41" s="28"/>
      <c r="D41" s="29"/>
      <c r="E41" s="3" t="str">
        <f xml:space="preserve">  InpS!E$18</f>
        <v>New Capital From Investor Cofounder</v>
      </c>
      <c r="F41" s="3">
        <f xml:space="preserve">  InpS!F$18</f>
        <v>0</v>
      </c>
      <c r="G41" s="3" t="str">
        <f xml:space="preserve">  InpS!G$18</f>
        <v>GBP</v>
      </c>
      <c r="H41" s="3">
        <f xml:space="preserve">  InpS!H$18</f>
        <v>0</v>
      </c>
      <c r="I41" s="3">
        <f xml:space="preserve">  InpS!I$18</f>
        <v>0</v>
      </c>
      <c r="J41" s="3">
        <f xml:space="preserve">  InpS!J$18</f>
        <v>0</v>
      </c>
      <c r="K41" s="3">
        <f xml:space="preserve">  InpS!K$18</f>
        <v>0</v>
      </c>
      <c r="L41" s="3">
        <f xml:space="preserve">  InpS!L$18</f>
        <v>0</v>
      </c>
      <c r="M41" s="3">
        <f xml:space="preserve">  InpS!M$18</f>
        <v>0</v>
      </c>
      <c r="N41" s="3">
        <f xml:space="preserve">  InpS!N$18</f>
        <v>0</v>
      </c>
      <c r="O41" s="3">
        <f xml:space="preserve">  InpS!O$18</f>
        <v>0</v>
      </c>
      <c r="P41" s="3">
        <f xml:space="preserve">  InpS!P$18</f>
        <v>0</v>
      </c>
      <c r="Q41" s="3">
        <f xml:space="preserve">  InpS!Q$18</f>
        <v>0</v>
      </c>
      <c r="R41" s="3">
        <f xml:space="preserve">  InpS!R$18</f>
        <v>0</v>
      </c>
      <c r="S41" s="3">
        <f xml:space="preserve">  InpS!S$18</f>
        <v>0</v>
      </c>
    </row>
    <row r="42" spans="1:19" outlineLevel="2">
      <c r="E42" s="2" t="str">
        <f t="shared" ref="E42:S42" si="10" xml:space="preserve">  E$114</f>
        <v>Price per Share</v>
      </c>
      <c r="F42" s="2">
        <f t="shared" si="10"/>
        <v>0</v>
      </c>
      <c r="G42" s="2" t="str">
        <f t="shared" si="10"/>
        <v>GBP</v>
      </c>
      <c r="H42" s="2">
        <f t="shared" si="10"/>
        <v>52340.910090909092</v>
      </c>
      <c r="I42" s="2">
        <f t="shared" si="10"/>
        <v>0</v>
      </c>
      <c r="J42" s="2">
        <f t="shared" si="10"/>
        <v>1E-3</v>
      </c>
      <c r="K42" s="2">
        <f t="shared" si="10"/>
        <v>2500</v>
      </c>
      <c r="L42" s="2">
        <f t="shared" si="10"/>
        <v>3863.6363636363635</v>
      </c>
      <c r="M42" s="2">
        <f t="shared" si="10"/>
        <v>6568.1818181818189</v>
      </c>
      <c r="N42" s="2">
        <f t="shared" si="10"/>
        <v>6568.1818181818189</v>
      </c>
      <c r="O42" s="2">
        <f t="shared" si="10"/>
        <v>6568.1818181818189</v>
      </c>
      <c r="P42" s="2">
        <f t="shared" si="10"/>
        <v>6568.1818181818189</v>
      </c>
      <c r="Q42" s="2">
        <f t="shared" si="10"/>
        <v>6568.1818181818189</v>
      </c>
      <c r="R42" s="2">
        <f t="shared" si="10"/>
        <v>6568.1818181818189</v>
      </c>
      <c r="S42" s="2">
        <f t="shared" si="10"/>
        <v>6568.1818181818189</v>
      </c>
    </row>
    <row r="43" spans="1:19" outlineLevel="2">
      <c r="E43" s="48" t="s">
        <v>79</v>
      </c>
      <c r="G43" s="48" t="s">
        <v>59</v>
      </c>
      <c r="H43" s="1">
        <f xml:space="preserve"> SUM( J43:S43 )</f>
        <v>0</v>
      </c>
      <c r="J43" s="1">
        <f t="shared" ref="J43:S43" si="11" xml:space="preserve">  IF( J40 &gt; 0, J41 / J42, 0 )</f>
        <v>0</v>
      </c>
      <c r="K43" s="1">
        <f t="shared" si="11"/>
        <v>0</v>
      </c>
      <c r="L43" s="1">
        <f t="shared" si="11"/>
        <v>0</v>
      </c>
      <c r="M43" s="1">
        <f t="shared" si="11"/>
        <v>0</v>
      </c>
      <c r="N43" s="1">
        <f t="shared" si="11"/>
        <v>0</v>
      </c>
      <c r="O43" s="1">
        <f t="shared" si="11"/>
        <v>0</v>
      </c>
      <c r="P43" s="1">
        <f t="shared" si="11"/>
        <v>0</v>
      </c>
      <c r="Q43" s="1">
        <f t="shared" si="11"/>
        <v>0</v>
      </c>
      <c r="R43" s="1">
        <f t="shared" si="11"/>
        <v>0</v>
      </c>
      <c r="S43" s="1">
        <f t="shared" si="11"/>
        <v>0</v>
      </c>
    </row>
    <row r="44" spans="1:19" outlineLevel="1"/>
    <row r="45" spans="1:19" outlineLevel="1"/>
    <row r="46" spans="1:19" outlineLevel="1">
      <c r="B46" s="20" t="s">
        <v>37</v>
      </c>
    </row>
    <row r="47" spans="1:19" outlineLevel="2">
      <c r="E47" s="2" t="str">
        <f t="shared" ref="E47:S47" si="12" xml:space="preserve">  E$22</f>
        <v>Total New Capital Raised From Equity</v>
      </c>
      <c r="F47" s="2">
        <f t="shared" si="12"/>
        <v>0</v>
      </c>
      <c r="G47" s="2" t="str">
        <f t="shared" si="12"/>
        <v>GBP</v>
      </c>
      <c r="H47" s="2">
        <f t="shared" si="12"/>
        <v>2500000</v>
      </c>
      <c r="I47" s="2">
        <f t="shared" si="12"/>
        <v>0</v>
      </c>
      <c r="J47" s="2">
        <f t="shared" si="12"/>
        <v>0</v>
      </c>
      <c r="K47" s="2">
        <f t="shared" si="12"/>
        <v>250000</v>
      </c>
      <c r="L47" s="2">
        <f t="shared" si="12"/>
        <v>750000</v>
      </c>
      <c r="M47" s="2">
        <f t="shared" si="12"/>
        <v>1500000</v>
      </c>
      <c r="N47" s="2">
        <f t="shared" si="12"/>
        <v>0</v>
      </c>
      <c r="O47" s="2">
        <f t="shared" si="12"/>
        <v>0</v>
      </c>
      <c r="P47" s="2">
        <f t="shared" si="12"/>
        <v>0</v>
      </c>
      <c r="Q47" s="2">
        <f t="shared" si="12"/>
        <v>0</v>
      </c>
      <c r="R47" s="2">
        <f t="shared" si="12"/>
        <v>0</v>
      </c>
      <c r="S47" s="2">
        <f t="shared" si="12"/>
        <v>0</v>
      </c>
    </row>
    <row r="48" spans="1:19" outlineLevel="2">
      <c r="A48" s="18"/>
      <c r="B48" s="18"/>
      <c r="C48" s="28"/>
      <c r="D48" s="29"/>
      <c r="E48" s="3" t="str">
        <f xml:space="preserve">  InpS!E$19</f>
        <v>New Capital From Other Investor</v>
      </c>
      <c r="F48" s="3">
        <f xml:space="preserve">  InpS!F$19</f>
        <v>0</v>
      </c>
      <c r="G48" s="3" t="str">
        <f xml:space="preserve">  InpS!G$19</f>
        <v>GBP</v>
      </c>
      <c r="H48" s="3">
        <f xml:space="preserve">  InpS!H$19</f>
        <v>2500000</v>
      </c>
      <c r="I48" s="3">
        <f xml:space="preserve">  InpS!I$19</f>
        <v>0</v>
      </c>
      <c r="J48" s="3">
        <f xml:space="preserve">  InpS!J$19</f>
        <v>0</v>
      </c>
      <c r="K48" s="3">
        <f xml:space="preserve">  InpS!K$19</f>
        <v>250000</v>
      </c>
      <c r="L48" s="3">
        <f xml:space="preserve">  InpS!L$19</f>
        <v>750000</v>
      </c>
      <c r="M48" s="3">
        <f xml:space="preserve">  InpS!M$19</f>
        <v>1500000</v>
      </c>
      <c r="N48" s="3">
        <f xml:space="preserve">  InpS!N$19</f>
        <v>0</v>
      </c>
      <c r="O48" s="3">
        <f xml:space="preserve">  InpS!O$19</f>
        <v>0</v>
      </c>
      <c r="P48" s="3">
        <f xml:space="preserve">  InpS!P$19</f>
        <v>0</v>
      </c>
      <c r="Q48" s="3">
        <f xml:space="preserve">  InpS!Q$19</f>
        <v>0</v>
      </c>
      <c r="R48" s="3">
        <f xml:space="preserve">  InpS!R$19</f>
        <v>0</v>
      </c>
      <c r="S48" s="3">
        <f xml:space="preserve">  InpS!S$19</f>
        <v>0</v>
      </c>
    </row>
    <row r="49" spans="1:19" outlineLevel="2">
      <c r="E49" s="2" t="str">
        <f t="shared" ref="E49:S49" si="13" xml:space="preserve">  E$114</f>
        <v>Price per Share</v>
      </c>
      <c r="F49" s="2">
        <f t="shared" si="13"/>
        <v>0</v>
      </c>
      <c r="G49" s="2" t="str">
        <f t="shared" si="13"/>
        <v>GBP</v>
      </c>
      <c r="H49" s="2">
        <f t="shared" si="13"/>
        <v>52340.910090909092</v>
      </c>
      <c r="I49" s="2">
        <f t="shared" si="13"/>
        <v>0</v>
      </c>
      <c r="J49" s="2">
        <f t="shared" si="13"/>
        <v>1E-3</v>
      </c>
      <c r="K49" s="2">
        <f t="shared" si="13"/>
        <v>2500</v>
      </c>
      <c r="L49" s="2">
        <f t="shared" si="13"/>
        <v>3863.6363636363635</v>
      </c>
      <c r="M49" s="2">
        <f t="shared" si="13"/>
        <v>6568.1818181818189</v>
      </c>
      <c r="N49" s="2">
        <f t="shared" si="13"/>
        <v>6568.1818181818189</v>
      </c>
      <c r="O49" s="2">
        <f t="shared" si="13"/>
        <v>6568.1818181818189</v>
      </c>
      <c r="P49" s="2">
        <f t="shared" si="13"/>
        <v>6568.1818181818189</v>
      </c>
      <c r="Q49" s="2">
        <f t="shared" si="13"/>
        <v>6568.1818181818189</v>
      </c>
      <c r="R49" s="2">
        <f t="shared" si="13"/>
        <v>6568.1818181818189</v>
      </c>
      <c r="S49" s="2">
        <f t="shared" si="13"/>
        <v>6568.1818181818189</v>
      </c>
    </row>
    <row r="50" spans="1:19" outlineLevel="2">
      <c r="E50" s="48" t="s">
        <v>37</v>
      </c>
      <c r="G50" s="48" t="s">
        <v>59</v>
      </c>
      <c r="H50" s="1">
        <f xml:space="preserve"> SUM( J50:S50 )</f>
        <v>522.49134948096889</v>
      </c>
      <c r="J50" s="1">
        <f t="shared" ref="J50:S50" si="14" xml:space="preserve">  IF( J47 &gt; 0, J48 / J49, 0 )</f>
        <v>0</v>
      </c>
      <c r="K50" s="1">
        <f t="shared" si="14"/>
        <v>100</v>
      </c>
      <c r="L50" s="1">
        <f t="shared" si="14"/>
        <v>194.11764705882354</v>
      </c>
      <c r="M50" s="1">
        <f t="shared" si="14"/>
        <v>228.3737024221453</v>
      </c>
      <c r="N50" s="1">
        <f t="shared" si="14"/>
        <v>0</v>
      </c>
      <c r="O50" s="1">
        <f t="shared" si="14"/>
        <v>0</v>
      </c>
      <c r="P50" s="1">
        <f t="shared" si="14"/>
        <v>0</v>
      </c>
      <c r="Q50" s="1">
        <f t="shared" si="14"/>
        <v>0</v>
      </c>
      <c r="R50" s="1">
        <f t="shared" si="14"/>
        <v>0</v>
      </c>
      <c r="S50" s="1">
        <f t="shared" si="14"/>
        <v>0</v>
      </c>
    </row>
    <row r="51" spans="1:19" outlineLevel="1"/>
    <row r="53" spans="1:19">
      <c r="A53" s="20" t="s">
        <v>153</v>
      </c>
    </row>
    <row r="54" spans="1:19" outlineLevel="1">
      <c r="B54" s="20" t="s">
        <v>6</v>
      </c>
    </row>
    <row r="55" spans="1:19" s="64" customFormat="1" outlineLevel="1">
      <c r="A55" s="33"/>
      <c r="B55" s="33"/>
      <c r="C55" s="62"/>
      <c r="D55" s="58"/>
      <c r="E55" s="13" t="str">
        <f xml:space="preserve">  InpC!E$21</f>
        <v>Opening Studio Cofounder Shares</v>
      </c>
      <c r="F55" s="13">
        <f xml:space="preserve">  InpC!F$21</f>
        <v>100</v>
      </c>
      <c r="G55" s="13" t="str">
        <f xml:space="preserve">  InpC!G$21</f>
        <v>Shares</v>
      </c>
      <c r="M55" s="109"/>
    </row>
    <row r="56" spans="1:19" outlineLevel="1">
      <c r="A56" s="18"/>
      <c r="B56" s="18"/>
      <c r="C56" s="28"/>
      <c r="D56" s="29"/>
      <c r="E56" s="9" t="str">
        <f xml:space="preserve">  Time!E$16</f>
        <v>Period number</v>
      </c>
      <c r="F56" s="9">
        <f xml:space="preserve">  Time!F$16</f>
        <v>0</v>
      </c>
      <c r="G56" s="9" t="str">
        <f xml:space="preserve">  Time!G$16</f>
        <v>Counter</v>
      </c>
      <c r="H56" s="9">
        <f xml:space="preserve">  Time!H$16</f>
        <v>0</v>
      </c>
      <c r="I56" s="9">
        <f xml:space="preserve">  Time!I$16</f>
        <v>0</v>
      </c>
      <c r="J56" s="9">
        <f xml:space="preserve">  Time!J$16</f>
        <v>1</v>
      </c>
      <c r="K56" s="9">
        <f xml:space="preserve">  Time!K$16</f>
        <v>2</v>
      </c>
      <c r="L56" s="9">
        <f xml:space="preserve">  Time!L$16</f>
        <v>3</v>
      </c>
      <c r="M56" s="9">
        <f xml:space="preserve">  Time!M$16</f>
        <v>4</v>
      </c>
      <c r="N56" s="9">
        <f xml:space="preserve">  Time!N$16</f>
        <v>5</v>
      </c>
      <c r="O56" s="9">
        <f xml:space="preserve">  Time!O$16</f>
        <v>6</v>
      </c>
      <c r="P56" s="9">
        <f xml:space="preserve">  Time!P$16</f>
        <v>7</v>
      </c>
      <c r="Q56" s="9">
        <f xml:space="preserve">  Time!Q$16</f>
        <v>8</v>
      </c>
      <c r="R56" s="9">
        <f xml:space="preserve">  Time!R$16</f>
        <v>9</v>
      </c>
      <c r="S56" s="9">
        <f xml:space="preserve">  Time!S$16</f>
        <v>10</v>
      </c>
    </row>
    <row r="57" spans="1:19" outlineLevel="1">
      <c r="E57" s="48" t="s">
        <v>52</v>
      </c>
      <c r="G57" s="48" t="s">
        <v>59</v>
      </c>
      <c r="J57" s="1">
        <f t="shared" ref="J57:S57" si="15" xml:space="preserve">  I59</f>
        <v>100</v>
      </c>
      <c r="K57" s="1">
        <f t="shared" si="15"/>
        <v>100</v>
      </c>
      <c r="L57" s="1">
        <f t="shared" si="15"/>
        <v>100</v>
      </c>
      <c r="M57" s="1">
        <f t="shared" si="15"/>
        <v>100</v>
      </c>
      <c r="N57" s="1">
        <f t="shared" si="15"/>
        <v>100</v>
      </c>
      <c r="O57" s="1">
        <f t="shared" si="15"/>
        <v>100</v>
      </c>
      <c r="P57" s="1">
        <f t="shared" si="15"/>
        <v>100</v>
      </c>
      <c r="Q57" s="1">
        <f t="shared" si="15"/>
        <v>100</v>
      </c>
      <c r="R57" s="1">
        <f t="shared" si="15"/>
        <v>100</v>
      </c>
      <c r="S57" s="1">
        <f t="shared" si="15"/>
        <v>100</v>
      </c>
    </row>
    <row r="58" spans="1:19" outlineLevel="1">
      <c r="D58" s="86" t="s">
        <v>112</v>
      </c>
      <c r="E58" s="1" t="str">
        <f t="shared" ref="E58:S58" si="16" xml:space="preserve">  E$36</f>
        <v>New Studio Cofounder Shares</v>
      </c>
      <c r="F58" s="1">
        <f t="shared" si="16"/>
        <v>0</v>
      </c>
      <c r="G58" s="1" t="str">
        <f t="shared" si="16"/>
        <v>Shares</v>
      </c>
      <c r="H58" s="1">
        <f t="shared" si="16"/>
        <v>0</v>
      </c>
      <c r="I58" s="1">
        <f t="shared" si="16"/>
        <v>0</v>
      </c>
      <c r="J58" s="1">
        <f t="shared" si="16"/>
        <v>0</v>
      </c>
      <c r="K58" s="1">
        <f t="shared" si="16"/>
        <v>0</v>
      </c>
      <c r="L58" s="1">
        <f t="shared" si="16"/>
        <v>0</v>
      </c>
      <c r="M58" s="1">
        <f t="shared" si="16"/>
        <v>0</v>
      </c>
      <c r="N58" s="1">
        <f t="shared" si="16"/>
        <v>0</v>
      </c>
      <c r="O58" s="1">
        <f t="shared" si="16"/>
        <v>0</v>
      </c>
      <c r="P58" s="1">
        <f t="shared" si="16"/>
        <v>0</v>
      </c>
      <c r="Q58" s="1">
        <f t="shared" si="16"/>
        <v>0</v>
      </c>
      <c r="R58" s="1">
        <f t="shared" si="16"/>
        <v>0</v>
      </c>
      <c r="S58" s="1">
        <f t="shared" si="16"/>
        <v>0</v>
      </c>
    </row>
    <row r="59" spans="1:19" s="59" customFormat="1" outlineLevel="1">
      <c r="A59" s="35"/>
      <c r="B59" s="35"/>
      <c r="C59" s="60"/>
      <c r="D59" s="63"/>
      <c r="E59" s="22" t="s">
        <v>6</v>
      </c>
      <c r="F59" s="22"/>
      <c r="G59" s="22" t="s">
        <v>59</v>
      </c>
      <c r="H59" s="22"/>
      <c r="I59" s="12">
        <f t="shared" ref="I59:S59" si="17" xml:space="preserve">  IF( I56 = 0, $F55, I57 + I58 )</f>
        <v>100</v>
      </c>
      <c r="J59" s="12">
        <f t="shared" si="17"/>
        <v>100</v>
      </c>
      <c r="K59" s="12">
        <f t="shared" si="17"/>
        <v>100</v>
      </c>
      <c r="L59" s="12">
        <f t="shared" si="17"/>
        <v>100</v>
      </c>
      <c r="M59" s="12">
        <f t="shared" si="17"/>
        <v>100</v>
      </c>
      <c r="N59" s="12">
        <f t="shared" si="17"/>
        <v>100</v>
      </c>
      <c r="O59" s="12">
        <f t="shared" si="17"/>
        <v>100</v>
      </c>
      <c r="P59" s="12">
        <f t="shared" si="17"/>
        <v>100</v>
      </c>
      <c r="Q59" s="12">
        <f t="shared" si="17"/>
        <v>100</v>
      </c>
      <c r="R59" s="12">
        <f t="shared" si="17"/>
        <v>100</v>
      </c>
      <c r="S59" s="12">
        <f t="shared" si="17"/>
        <v>100</v>
      </c>
    </row>
    <row r="60" spans="1:19" outlineLevel="1"/>
    <row r="61" spans="1:19" outlineLevel="1">
      <c r="B61" s="20" t="s">
        <v>113</v>
      </c>
    </row>
    <row r="62" spans="1:19" s="64" customFormat="1" outlineLevel="1">
      <c r="A62" s="33"/>
      <c r="B62" s="33"/>
      <c r="C62" s="62"/>
      <c r="D62" s="58"/>
      <c r="E62" s="13" t="str">
        <f xml:space="preserve">  InpC!E$20</f>
        <v>Opening Sector Cofounder Shares</v>
      </c>
      <c r="F62" s="13">
        <f xml:space="preserve">  InpC!F$20</f>
        <v>400</v>
      </c>
      <c r="G62" s="13" t="str">
        <f xml:space="preserve">  InpC!G$20</f>
        <v>Shares</v>
      </c>
      <c r="M62" s="109"/>
    </row>
    <row r="63" spans="1:19" outlineLevel="1">
      <c r="A63" s="18"/>
      <c r="B63" s="18"/>
      <c r="C63" s="28"/>
      <c r="D63" s="29"/>
      <c r="E63" s="9" t="str">
        <f xml:space="preserve">  Time!E$16</f>
        <v>Period number</v>
      </c>
      <c r="F63" s="9">
        <f xml:space="preserve">  Time!F$16</f>
        <v>0</v>
      </c>
      <c r="G63" s="9" t="str">
        <f xml:space="preserve">  Time!G$16</f>
        <v>Counter</v>
      </c>
      <c r="H63" s="9">
        <f xml:space="preserve">  Time!H$16</f>
        <v>0</v>
      </c>
      <c r="I63" s="9">
        <f xml:space="preserve">  Time!I$16</f>
        <v>0</v>
      </c>
      <c r="J63" s="9">
        <f xml:space="preserve">  Time!J$16</f>
        <v>1</v>
      </c>
      <c r="K63" s="9">
        <f xml:space="preserve">  Time!K$16</f>
        <v>2</v>
      </c>
      <c r="L63" s="9">
        <f xml:space="preserve">  Time!L$16</f>
        <v>3</v>
      </c>
      <c r="M63" s="9">
        <f xml:space="preserve">  Time!M$16</f>
        <v>4</v>
      </c>
      <c r="N63" s="9">
        <f xml:space="preserve">  Time!N$16</f>
        <v>5</v>
      </c>
      <c r="O63" s="9">
        <f xml:space="preserve">  Time!O$16</f>
        <v>6</v>
      </c>
      <c r="P63" s="9">
        <f xml:space="preserve">  Time!P$16</f>
        <v>7</v>
      </c>
      <c r="Q63" s="9">
        <f xml:space="preserve">  Time!Q$16</f>
        <v>8</v>
      </c>
      <c r="R63" s="9">
        <f xml:space="preserve">  Time!R$16</f>
        <v>9</v>
      </c>
      <c r="S63" s="9">
        <f xml:space="preserve">  Time!S$16</f>
        <v>10</v>
      </c>
    </row>
    <row r="64" spans="1:19" outlineLevel="1">
      <c r="E64" s="48" t="s">
        <v>97</v>
      </c>
      <c r="G64" s="48" t="s">
        <v>59</v>
      </c>
      <c r="J64" s="1">
        <f t="shared" ref="J64:S64" si="18" xml:space="preserve">  I66</f>
        <v>400</v>
      </c>
      <c r="K64" s="1">
        <f t="shared" si="18"/>
        <v>400</v>
      </c>
      <c r="L64" s="1">
        <f t="shared" si="18"/>
        <v>400</v>
      </c>
      <c r="M64" s="1">
        <f t="shared" si="18"/>
        <v>400</v>
      </c>
      <c r="N64" s="1">
        <f t="shared" si="18"/>
        <v>400</v>
      </c>
      <c r="O64" s="1">
        <f t="shared" si="18"/>
        <v>400</v>
      </c>
      <c r="P64" s="1">
        <f t="shared" si="18"/>
        <v>400</v>
      </c>
      <c r="Q64" s="1">
        <f t="shared" si="18"/>
        <v>400</v>
      </c>
      <c r="R64" s="1">
        <f t="shared" si="18"/>
        <v>400</v>
      </c>
      <c r="S64" s="1">
        <f t="shared" si="18"/>
        <v>400</v>
      </c>
    </row>
    <row r="65" spans="1:19" outlineLevel="1">
      <c r="D65" s="86" t="s">
        <v>112</v>
      </c>
      <c r="E65" s="1" t="str">
        <f t="shared" ref="E65:S65" si="19" xml:space="preserve">  E$29</f>
        <v>New Sector Cofounder Shares</v>
      </c>
      <c r="F65" s="1">
        <f t="shared" si="19"/>
        <v>0</v>
      </c>
      <c r="G65" s="1" t="str">
        <f t="shared" si="19"/>
        <v>Shares</v>
      </c>
      <c r="H65" s="1">
        <f t="shared" si="19"/>
        <v>0</v>
      </c>
      <c r="I65" s="1">
        <f t="shared" si="19"/>
        <v>0</v>
      </c>
      <c r="J65" s="1">
        <f t="shared" si="19"/>
        <v>0</v>
      </c>
      <c r="K65" s="1">
        <f t="shared" si="19"/>
        <v>0</v>
      </c>
      <c r="L65" s="1">
        <f t="shared" si="19"/>
        <v>0</v>
      </c>
      <c r="M65" s="1">
        <f t="shared" si="19"/>
        <v>0</v>
      </c>
      <c r="N65" s="1">
        <f t="shared" si="19"/>
        <v>0</v>
      </c>
      <c r="O65" s="1">
        <f t="shared" si="19"/>
        <v>0</v>
      </c>
      <c r="P65" s="1">
        <f t="shared" si="19"/>
        <v>0</v>
      </c>
      <c r="Q65" s="1">
        <f t="shared" si="19"/>
        <v>0</v>
      </c>
      <c r="R65" s="1">
        <f t="shared" si="19"/>
        <v>0</v>
      </c>
      <c r="S65" s="1">
        <f t="shared" si="19"/>
        <v>0</v>
      </c>
    </row>
    <row r="66" spans="1:19" s="59" customFormat="1" outlineLevel="1">
      <c r="A66" s="35"/>
      <c r="B66" s="35"/>
      <c r="C66" s="60"/>
      <c r="D66" s="63"/>
      <c r="E66" s="22" t="s">
        <v>113</v>
      </c>
      <c r="F66" s="22"/>
      <c r="G66" s="22" t="s">
        <v>59</v>
      </c>
      <c r="H66" s="22"/>
      <c r="I66" s="12">
        <f t="shared" ref="I66:S66" si="20" xml:space="preserve">  IF( I63 = 0, $F62, I64 + I65 )</f>
        <v>400</v>
      </c>
      <c r="J66" s="12">
        <f t="shared" si="20"/>
        <v>400</v>
      </c>
      <c r="K66" s="12">
        <f t="shared" si="20"/>
        <v>400</v>
      </c>
      <c r="L66" s="12">
        <f t="shared" si="20"/>
        <v>400</v>
      </c>
      <c r="M66" s="12">
        <f t="shared" si="20"/>
        <v>400</v>
      </c>
      <c r="N66" s="12">
        <f t="shared" si="20"/>
        <v>400</v>
      </c>
      <c r="O66" s="12">
        <f t="shared" si="20"/>
        <v>400</v>
      </c>
      <c r="P66" s="12">
        <f t="shared" si="20"/>
        <v>400</v>
      </c>
      <c r="Q66" s="12">
        <f t="shared" si="20"/>
        <v>400</v>
      </c>
      <c r="R66" s="12">
        <f t="shared" si="20"/>
        <v>400</v>
      </c>
      <c r="S66" s="12">
        <f t="shared" si="20"/>
        <v>400</v>
      </c>
    </row>
    <row r="67" spans="1:19" outlineLevel="1"/>
    <row r="68" spans="1:19" outlineLevel="1">
      <c r="B68" s="20" t="s">
        <v>169</v>
      </c>
    </row>
    <row r="69" spans="1:19" s="64" customFormat="1" outlineLevel="1">
      <c r="A69" s="33"/>
      <c r="B69" s="33"/>
      <c r="C69" s="62"/>
      <c r="D69" s="58"/>
      <c r="E69" s="13" t="str">
        <f xml:space="preserve">  InpC!E$22</f>
        <v>Opening Investor Cofounder Shares</v>
      </c>
      <c r="F69" s="13">
        <f xml:space="preserve">  InpC!F$22</f>
        <v>500</v>
      </c>
      <c r="G69" s="13" t="str">
        <f xml:space="preserve">  InpC!G$22</f>
        <v>Shares</v>
      </c>
      <c r="M69" s="109"/>
    </row>
    <row r="70" spans="1:19" outlineLevel="1">
      <c r="A70" s="18"/>
      <c r="B70" s="18"/>
      <c r="C70" s="28"/>
      <c r="D70" s="29"/>
      <c r="E70" s="9" t="str">
        <f xml:space="preserve">  Time!E$16</f>
        <v>Period number</v>
      </c>
      <c r="F70" s="9">
        <f xml:space="preserve">  Time!F$16</f>
        <v>0</v>
      </c>
      <c r="G70" s="9" t="str">
        <f xml:space="preserve">  Time!G$16</f>
        <v>Counter</v>
      </c>
      <c r="H70" s="9">
        <f xml:space="preserve">  Time!H$16</f>
        <v>0</v>
      </c>
      <c r="I70" s="9">
        <f xml:space="preserve">  Time!I$16</f>
        <v>0</v>
      </c>
      <c r="J70" s="9">
        <f xml:space="preserve">  Time!J$16</f>
        <v>1</v>
      </c>
      <c r="K70" s="9">
        <f xml:space="preserve">  Time!K$16</f>
        <v>2</v>
      </c>
      <c r="L70" s="9">
        <f xml:space="preserve">  Time!L$16</f>
        <v>3</v>
      </c>
      <c r="M70" s="9">
        <f xml:space="preserve">  Time!M$16</f>
        <v>4</v>
      </c>
      <c r="N70" s="9">
        <f xml:space="preserve">  Time!N$16</f>
        <v>5</v>
      </c>
      <c r="O70" s="9">
        <f xml:space="preserve">  Time!O$16</f>
        <v>6</v>
      </c>
      <c r="P70" s="9">
        <f xml:space="preserve">  Time!P$16</f>
        <v>7</v>
      </c>
      <c r="Q70" s="9">
        <f xml:space="preserve">  Time!Q$16</f>
        <v>8</v>
      </c>
      <c r="R70" s="9">
        <f xml:space="preserve">  Time!R$16</f>
        <v>9</v>
      </c>
      <c r="S70" s="9">
        <f xml:space="preserve">  Time!S$16</f>
        <v>10</v>
      </c>
    </row>
    <row r="71" spans="1:19" outlineLevel="1">
      <c r="E71" s="48" t="s">
        <v>149</v>
      </c>
      <c r="G71" s="48" t="s">
        <v>59</v>
      </c>
      <c r="J71" s="1">
        <f t="shared" ref="J71:S71" si="21" xml:space="preserve">  I73</f>
        <v>500</v>
      </c>
      <c r="K71" s="1">
        <f t="shared" si="21"/>
        <v>500</v>
      </c>
      <c r="L71" s="1">
        <f t="shared" si="21"/>
        <v>500</v>
      </c>
      <c r="M71" s="1">
        <f t="shared" si="21"/>
        <v>500</v>
      </c>
      <c r="N71" s="1">
        <f t="shared" si="21"/>
        <v>500</v>
      </c>
      <c r="O71" s="1">
        <f t="shared" si="21"/>
        <v>500</v>
      </c>
      <c r="P71" s="1">
        <f t="shared" si="21"/>
        <v>500</v>
      </c>
      <c r="Q71" s="1">
        <f t="shared" si="21"/>
        <v>500</v>
      </c>
      <c r="R71" s="1">
        <f t="shared" si="21"/>
        <v>500</v>
      </c>
      <c r="S71" s="1">
        <f t="shared" si="21"/>
        <v>500</v>
      </c>
    </row>
    <row r="72" spans="1:19" outlineLevel="1">
      <c r="D72" s="86" t="s">
        <v>112</v>
      </c>
      <c r="E72" s="1" t="str">
        <f t="shared" ref="E72:S72" si="22" xml:space="preserve">  E$43</f>
        <v>New Investor Cofounder Shares</v>
      </c>
      <c r="F72" s="1">
        <f t="shared" si="22"/>
        <v>0</v>
      </c>
      <c r="G72" s="1" t="str">
        <f t="shared" si="22"/>
        <v>Shares</v>
      </c>
      <c r="H72" s="1">
        <f t="shared" si="22"/>
        <v>0</v>
      </c>
      <c r="I72" s="1">
        <f t="shared" si="22"/>
        <v>0</v>
      </c>
      <c r="J72" s="1">
        <f t="shared" si="22"/>
        <v>0</v>
      </c>
      <c r="K72" s="1">
        <f t="shared" si="22"/>
        <v>0</v>
      </c>
      <c r="L72" s="1">
        <f t="shared" si="22"/>
        <v>0</v>
      </c>
      <c r="M72" s="1">
        <f t="shared" si="22"/>
        <v>0</v>
      </c>
      <c r="N72" s="1">
        <f t="shared" si="22"/>
        <v>0</v>
      </c>
      <c r="O72" s="1">
        <f t="shared" si="22"/>
        <v>0</v>
      </c>
      <c r="P72" s="1">
        <f t="shared" si="22"/>
        <v>0</v>
      </c>
      <c r="Q72" s="1">
        <f t="shared" si="22"/>
        <v>0</v>
      </c>
      <c r="R72" s="1">
        <f t="shared" si="22"/>
        <v>0</v>
      </c>
      <c r="S72" s="1">
        <f t="shared" si="22"/>
        <v>0</v>
      </c>
    </row>
    <row r="73" spans="1:19" s="59" customFormat="1" outlineLevel="1">
      <c r="A73" s="35"/>
      <c r="B73" s="35"/>
      <c r="C73" s="60"/>
      <c r="D73" s="63"/>
      <c r="E73" s="22" t="s">
        <v>169</v>
      </c>
      <c r="F73" s="22"/>
      <c r="G73" s="22" t="s">
        <v>59</v>
      </c>
      <c r="H73" s="22"/>
      <c r="I73" s="12">
        <f t="shared" ref="I73:S73" si="23" xml:space="preserve">  IF( I70 = 0, $F69, I71 + I72 )</f>
        <v>500</v>
      </c>
      <c r="J73" s="12">
        <f t="shared" si="23"/>
        <v>500</v>
      </c>
      <c r="K73" s="12">
        <f t="shared" si="23"/>
        <v>500</v>
      </c>
      <c r="L73" s="12">
        <f t="shared" si="23"/>
        <v>500</v>
      </c>
      <c r="M73" s="12">
        <f t="shared" si="23"/>
        <v>500</v>
      </c>
      <c r="N73" s="12">
        <f t="shared" si="23"/>
        <v>500</v>
      </c>
      <c r="O73" s="12">
        <f t="shared" si="23"/>
        <v>500</v>
      </c>
      <c r="P73" s="12">
        <f t="shared" si="23"/>
        <v>500</v>
      </c>
      <c r="Q73" s="12">
        <f t="shared" si="23"/>
        <v>500</v>
      </c>
      <c r="R73" s="12">
        <f t="shared" si="23"/>
        <v>500</v>
      </c>
      <c r="S73" s="12">
        <f t="shared" si="23"/>
        <v>500</v>
      </c>
    </row>
    <row r="74" spans="1:19" outlineLevel="1"/>
    <row r="75" spans="1:19" outlineLevel="1">
      <c r="B75" s="20" t="s">
        <v>64</v>
      </c>
    </row>
    <row r="76" spans="1:19" s="64" customFormat="1" outlineLevel="1">
      <c r="A76" s="33"/>
      <c r="B76" s="33"/>
      <c r="C76" s="62"/>
      <c r="D76" s="58"/>
      <c r="E76" s="13" t="str">
        <f xml:space="preserve">  InpC!E$23</f>
        <v>Opening Other Investor Shares</v>
      </c>
      <c r="F76" s="13">
        <f xml:space="preserve">  InpC!F$23</f>
        <v>0</v>
      </c>
      <c r="G76" s="13" t="str">
        <f xml:space="preserve">  InpC!G$23</f>
        <v>Shares</v>
      </c>
      <c r="M76" s="109"/>
    </row>
    <row r="77" spans="1:19" outlineLevel="1">
      <c r="A77" s="18"/>
      <c r="B77" s="18"/>
      <c r="C77" s="28"/>
      <c r="D77" s="29"/>
      <c r="E77" s="9" t="str">
        <f xml:space="preserve">  Time!E$16</f>
        <v>Period number</v>
      </c>
      <c r="F77" s="9">
        <f xml:space="preserve">  Time!F$16</f>
        <v>0</v>
      </c>
      <c r="G77" s="9" t="str">
        <f xml:space="preserve">  Time!G$16</f>
        <v>Counter</v>
      </c>
      <c r="H77" s="9">
        <f xml:space="preserve">  Time!H$16</f>
        <v>0</v>
      </c>
      <c r="I77" s="9">
        <f xml:space="preserve">  Time!I$16</f>
        <v>0</v>
      </c>
      <c r="J77" s="9">
        <f xml:space="preserve">  Time!J$16</f>
        <v>1</v>
      </c>
      <c r="K77" s="9">
        <f xml:space="preserve">  Time!K$16</f>
        <v>2</v>
      </c>
      <c r="L77" s="9">
        <f xml:space="preserve">  Time!L$16</f>
        <v>3</v>
      </c>
      <c r="M77" s="9">
        <f xml:space="preserve">  Time!M$16</f>
        <v>4</v>
      </c>
      <c r="N77" s="9">
        <f xml:space="preserve">  Time!N$16</f>
        <v>5</v>
      </c>
      <c r="O77" s="9">
        <f xml:space="preserve">  Time!O$16</f>
        <v>6</v>
      </c>
      <c r="P77" s="9">
        <f xml:space="preserve">  Time!P$16</f>
        <v>7</v>
      </c>
      <c r="Q77" s="9">
        <f xml:space="preserve">  Time!Q$16</f>
        <v>8</v>
      </c>
      <c r="R77" s="9">
        <f xml:space="preserve">  Time!R$16</f>
        <v>9</v>
      </c>
      <c r="S77" s="9">
        <f xml:space="preserve">  Time!S$16</f>
        <v>10</v>
      </c>
    </row>
    <row r="78" spans="1:19" outlineLevel="1">
      <c r="E78" s="48" t="s">
        <v>11</v>
      </c>
      <c r="G78" s="48" t="s">
        <v>59</v>
      </c>
      <c r="J78" s="1">
        <f t="shared" ref="J78:S78" si="24" xml:space="preserve">  I80</f>
        <v>0</v>
      </c>
      <c r="K78" s="1">
        <f t="shared" si="24"/>
        <v>0</v>
      </c>
      <c r="L78" s="1">
        <f t="shared" si="24"/>
        <v>100</v>
      </c>
      <c r="M78" s="1">
        <f t="shared" si="24"/>
        <v>294.11764705882354</v>
      </c>
      <c r="N78" s="1">
        <f t="shared" si="24"/>
        <v>522.49134948096889</v>
      </c>
      <c r="O78" s="1">
        <f t="shared" si="24"/>
        <v>522.49134948096889</v>
      </c>
      <c r="P78" s="1">
        <f t="shared" si="24"/>
        <v>522.49134948096889</v>
      </c>
      <c r="Q78" s="1">
        <f t="shared" si="24"/>
        <v>522.49134948096889</v>
      </c>
      <c r="R78" s="1">
        <f t="shared" si="24"/>
        <v>522.49134948096889</v>
      </c>
      <c r="S78" s="1">
        <f t="shared" si="24"/>
        <v>522.49134948096889</v>
      </c>
    </row>
    <row r="79" spans="1:19" outlineLevel="1">
      <c r="D79" s="86" t="s">
        <v>112</v>
      </c>
      <c r="E79" s="1" t="str">
        <f t="shared" ref="E79:S79" si="25" xml:space="preserve">  E$50</f>
        <v>New Other Investor Shares</v>
      </c>
      <c r="F79" s="1">
        <f t="shared" si="25"/>
        <v>0</v>
      </c>
      <c r="G79" s="1" t="str">
        <f t="shared" si="25"/>
        <v>Shares</v>
      </c>
      <c r="H79" s="1">
        <f t="shared" si="25"/>
        <v>522.49134948096889</v>
      </c>
      <c r="I79" s="1">
        <f t="shared" si="25"/>
        <v>0</v>
      </c>
      <c r="J79" s="1">
        <f t="shared" si="25"/>
        <v>0</v>
      </c>
      <c r="K79" s="1">
        <f t="shared" si="25"/>
        <v>100</v>
      </c>
      <c r="L79" s="1">
        <f t="shared" si="25"/>
        <v>194.11764705882354</v>
      </c>
      <c r="M79" s="1">
        <f t="shared" si="25"/>
        <v>228.3737024221453</v>
      </c>
      <c r="N79" s="1">
        <f t="shared" si="25"/>
        <v>0</v>
      </c>
      <c r="O79" s="1">
        <f t="shared" si="25"/>
        <v>0</v>
      </c>
      <c r="P79" s="1">
        <f t="shared" si="25"/>
        <v>0</v>
      </c>
      <c r="Q79" s="1">
        <f t="shared" si="25"/>
        <v>0</v>
      </c>
      <c r="R79" s="1">
        <f t="shared" si="25"/>
        <v>0</v>
      </c>
      <c r="S79" s="1">
        <f t="shared" si="25"/>
        <v>0</v>
      </c>
    </row>
    <row r="80" spans="1:19" s="59" customFormat="1" outlineLevel="1">
      <c r="A80" s="35"/>
      <c r="B80" s="35"/>
      <c r="C80" s="60"/>
      <c r="D80" s="63"/>
      <c r="E80" s="22" t="s">
        <v>64</v>
      </c>
      <c r="F80" s="22"/>
      <c r="G80" s="22" t="s">
        <v>59</v>
      </c>
      <c r="H80" s="22"/>
      <c r="I80" s="12">
        <f t="shared" ref="I80:S80" si="26" xml:space="preserve">  IF( I77 = 0, $F76, I78 + I79 )</f>
        <v>0</v>
      </c>
      <c r="J80" s="12">
        <f t="shared" si="26"/>
        <v>0</v>
      </c>
      <c r="K80" s="12">
        <f t="shared" si="26"/>
        <v>100</v>
      </c>
      <c r="L80" s="12">
        <f t="shared" si="26"/>
        <v>294.11764705882354</v>
      </c>
      <c r="M80" s="12">
        <f t="shared" si="26"/>
        <v>522.49134948096889</v>
      </c>
      <c r="N80" s="12">
        <f t="shared" si="26"/>
        <v>522.49134948096889</v>
      </c>
      <c r="O80" s="12">
        <f t="shared" si="26"/>
        <v>522.49134948096889</v>
      </c>
      <c r="P80" s="12">
        <f t="shared" si="26"/>
        <v>522.49134948096889</v>
      </c>
      <c r="Q80" s="12">
        <f t="shared" si="26"/>
        <v>522.49134948096889</v>
      </c>
      <c r="R80" s="12">
        <f t="shared" si="26"/>
        <v>522.49134948096889</v>
      </c>
      <c r="S80" s="12">
        <f t="shared" si="26"/>
        <v>522.49134948096889</v>
      </c>
    </row>
    <row r="82" spans="1:19">
      <c r="A82" s="20" t="s">
        <v>7</v>
      </c>
    </row>
    <row r="83" spans="1:19" outlineLevel="1">
      <c r="B83" s="20" t="s">
        <v>28</v>
      </c>
    </row>
    <row r="84" spans="1:19" outlineLevel="2">
      <c r="E84" s="1" t="str">
        <f t="shared" ref="E84:S84" si="27" xml:space="preserve">  E$66</f>
        <v>Sector Cofounder Shares</v>
      </c>
      <c r="F84" s="1">
        <f t="shared" si="27"/>
        <v>0</v>
      </c>
      <c r="G84" s="1" t="str">
        <f t="shared" si="27"/>
        <v>Shares</v>
      </c>
      <c r="H84" s="1">
        <f t="shared" si="27"/>
        <v>0</v>
      </c>
      <c r="I84" s="1">
        <f t="shared" si="27"/>
        <v>400</v>
      </c>
      <c r="J84" s="1">
        <f t="shared" si="27"/>
        <v>400</v>
      </c>
      <c r="K84" s="1">
        <f t="shared" si="27"/>
        <v>400</v>
      </c>
      <c r="L84" s="1">
        <f t="shared" si="27"/>
        <v>400</v>
      </c>
      <c r="M84" s="1">
        <f t="shared" si="27"/>
        <v>400</v>
      </c>
      <c r="N84" s="1">
        <f t="shared" si="27"/>
        <v>400</v>
      </c>
      <c r="O84" s="1">
        <f t="shared" si="27"/>
        <v>400</v>
      </c>
      <c r="P84" s="1">
        <f t="shared" si="27"/>
        <v>400</v>
      </c>
      <c r="Q84" s="1">
        <f t="shared" si="27"/>
        <v>400</v>
      </c>
      <c r="R84" s="1">
        <f t="shared" si="27"/>
        <v>400</v>
      </c>
      <c r="S84" s="1">
        <f t="shared" si="27"/>
        <v>400</v>
      </c>
    </row>
    <row r="85" spans="1:19" outlineLevel="2">
      <c r="A85" s="18"/>
      <c r="B85" s="18"/>
      <c r="C85" s="28"/>
      <c r="D85" s="29"/>
      <c r="E85" s="3" t="str">
        <f xml:space="preserve">  'Company Report'!E$17</f>
        <v>Total Shares In Issue</v>
      </c>
      <c r="F85" s="3">
        <f xml:space="preserve">  'Company Report'!F$17</f>
        <v>0</v>
      </c>
      <c r="G85" s="3" t="str">
        <f xml:space="preserve">  'Company Report'!G$17</f>
        <v>GBP</v>
      </c>
      <c r="H85" s="3">
        <f xml:space="preserve">  'Company Report'!H$17</f>
        <v>0</v>
      </c>
      <c r="I85" s="3">
        <f xml:space="preserve">  'Company Report'!I$17</f>
        <v>0</v>
      </c>
      <c r="J85" s="3">
        <f xml:space="preserve">  'Company Report'!J$17</f>
        <v>1000</v>
      </c>
      <c r="K85" s="3">
        <f xml:space="preserve">  'Company Report'!K$17</f>
        <v>1100</v>
      </c>
      <c r="L85" s="3">
        <f xml:space="preserve">  'Company Report'!L$17</f>
        <v>1294.1176470588234</v>
      </c>
      <c r="M85" s="3">
        <f xml:space="preserve">  'Company Report'!M$17</f>
        <v>1522.4913494809689</v>
      </c>
      <c r="N85" s="3">
        <f xml:space="preserve">  'Company Report'!N$17</f>
        <v>1522.4913494809689</v>
      </c>
      <c r="O85" s="3">
        <f xml:space="preserve">  'Company Report'!O$17</f>
        <v>1522.4913494809689</v>
      </c>
      <c r="P85" s="3">
        <f xml:space="preserve">  'Company Report'!P$17</f>
        <v>1522.4913494809689</v>
      </c>
      <c r="Q85" s="3">
        <f xml:space="preserve">  'Company Report'!Q$17</f>
        <v>1522.4913494809689</v>
      </c>
      <c r="R85" s="3">
        <f xml:space="preserve">  'Company Report'!R$17</f>
        <v>1522.4913494809689</v>
      </c>
      <c r="S85" s="3">
        <f xml:space="preserve">  'Company Report'!S$17</f>
        <v>1522.4913494809689</v>
      </c>
    </row>
    <row r="86" spans="1:19" outlineLevel="2">
      <c r="A86" s="24"/>
      <c r="B86" s="24"/>
      <c r="C86" s="45"/>
      <c r="D86" s="43"/>
      <c r="E86" s="14" t="s">
        <v>28</v>
      </c>
      <c r="F86" s="14"/>
      <c r="G86" s="14" t="s">
        <v>111</v>
      </c>
      <c r="H86" s="14"/>
      <c r="I86" s="14"/>
      <c r="J86" s="23">
        <f t="shared" ref="J86:S86" si="28" xml:space="preserve">  J84 / J85</f>
        <v>0.4</v>
      </c>
      <c r="K86" s="23">
        <f t="shared" si="28"/>
        <v>0.36363636363636365</v>
      </c>
      <c r="L86" s="23">
        <f t="shared" si="28"/>
        <v>0.30909090909090914</v>
      </c>
      <c r="M86" s="23">
        <f t="shared" si="28"/>
        <v>0.2627272727272727</v>
      </c>
      <c r="N86" s="23">
        <f t="shared" si="28"/>
        <v>0.2627272727272727</v>
      </c>
      <c r="O86" s="23">
        <f t="shared" si="28"/>
        <v>0.2627272727272727</v>
      </c>
      <c r="P86" s="23">
        <f t="shared" si="28"/>
        <v>0.2627272727272727</v>
      </c>
      <c r="Q86" s="23">
        <f t="shared" si="28"/>
        <v>0.2627272727272727</v>
      </c>
      <c r="R86" s="23">
        <f t="shared" si="28"/>
        <v>0.2627272727272727</v>
      </c>
      <c r="S86" s="23">
        <f t="shared" si="28"/>
        <v>0.2627272727272727</v>
      </c>
    </row>
    <row r="87" spans="1:19" outlineLevel="1"/>
    <row r="88" spans="1:19" outlineLevel="1"/>
    <row r="89" spans="1:19" outlineLevel="1">
      <c r="B89" s="20" t="s">
        <v>20</v>
      </c>
    </row>
    <row r="90" spans="1:19" outlineLevel="2">
      <c r="E90" s="1" t="str">
        <f t="shared" ref="E90:S90" si="29" xml:space="preserve">  E$59</f>
        <v>Studio Cofounder Shares</v>
      </c>
      <c r="F90" s="1">
        <f t="shared" si="29"/>
        <v>0</v>
      </c>
      <c r="G90" s="1" t="str">
        <f t="shared" si="29"/>
        <v>Shares</v>
      </c>
      <c r="H90" s="1">
        <f t="shared" si="29"/>
        <v>0</v>
      </c>
      <c r="I90" s="1">
        <f t="shared" si="29"/>
        <v>100</v>
      </c>
      <c r="J90" s="1">
        <f t="shared" si="29"/>
        <v>100</v>
      </c>
      <c r="K90" s="1">
        <f t="shared" si="29"/>
        <v>100</v>
      </c>
      <c r="L90" s="1">
        <f t="shared" si="29"/>
        <v>100</v>
      </c>
      <c r="M90" s="1">
        <f t="shared" si="29"/>
        <v>100</v>
      </c>
      <c r="N90" s="1">
        <f t="shared" si="29"/>
        <v>100</v>
      </c>
      <c r="O90" s="1">
        <f t="shared" si="29"/>
        <v>100</v>
      </c>
      <c r="P90" s="1">
        <f t="shared" si="29"/>
        <v>100</v>
      </c>
      <c r="Q90" s="1">
        <f t="shared" si="29"/>
        <v>100</v>
      </c>
      <c r="R90" s="1">
        <f t="shared" si="29"/>
        <v>100</v>
      </c>
      <c r="S90" s="1">
        <f t="shared" si="29"/>
        <v>100</v>
      </c>
    </row>
    <row r="91" spans="1:19" outlineLevel="2">
      <c r="A91" s="18"/>
      <c r="B91" s="18"/>
      <c r="C91" s="28"/>
      <c r="D91" s="29"/>
      <c r="E91" s="3" t="str">
        <f xml:space="preserve">  'Company Report'!E$17</f>
        <v>Total Shares In Issue</v>
      </c>
      <c r="F91" s="3">
        <f xml:space="preserve">  'Company Report'!F$17</f>
        <v>0</v>
      </c>
      <c r="G91" s="3" t="str">
        <f xml:space="preserve">  'Company Report'!G$17</f>
        <v>GBP</v>
      </c>
      <c r="H91" s="3">
        <f xml:space="preserve">  'Company Report'!H$17</f>
        <v>0</v>
      </c>
      <c r="I91" s="3">
        <f xml:space="preserve">  'Company Report'!I$17</f>
        <v>0</v>
      </c>
      <c r="J91" s="3">
        <f xml:space="preserve">  'Company Report'!J$17</f>
        <v>1000</v>
      </c>
      <c r="K91" s="3">
        <f xml:space="preserve">  'Company Report'!K$17</f>
        <v>1100</v>
      </c>
      <c r="L91" s="3">
        <f xml:space="preserve">  'Company Report'!L$17</f>
        <v>1294.1176470588234</v>
      </c>
      <c r="M91" s="3">
        <f xml:space="preserve">  'Company Report'!M$17</f>
        <v>1522.4913494809689</v>
      </c>
      <c r="N91" s="3">
        <f xml:space="preserve">  'Company Report'!N$17</f>
        <v>1522.4913494809689</v>
      </c>
      <c r="O91" s="3">
        <f xml:space="preserve">  'Company Report'!O$17</f>
        <v>1522.4913494809689</v>
      </c>
      <c r="P91" s="3">
        <f xml:space="preserve">  'Company Report'!P$17</f>
        <v>1522.4913494809689</v>
      </c>
      <c r="Q91" s="3">
        <f xml:space="preserve">  'Company Report'!Q$17</f>
        <v>1522.4913494809689</v>
      </c>
      <c r="R91" s="3">
        <f xml:space="preserve">  'Company Report'!R$17</f>
        <v>1522.4913494809689</v>
      </c>
      <c r="S91" s="3">
        <f xml:space="preserve">  'Company Report'!S$17</f>
        <v>1522.4913494809689</v>
      </c>
    </row>
    <row r="92" spans="1:19" outlineLevel="2">
      <c r="A92" s="24"/>
      <c r="B92" s="24"/>
      <c r="C92" s="45"/>
      <c r="D92" s="43"/>
      <c r="E92" s="14" t="s">
        <v>20</v>
      </c>
      <c r="F92" s="14"/>
      <c r="G92" s="14" t="s">
        <v>111</v>
      </c>
      <c r="H92" s="14"/>
      <c r="I92" s="14"/>
      <c r="J92" s="23">
        <f t="shared" ref="J92:S92" si="30" xml:space="preserve">  J90 / J91</f>
        <v>0.1</v>
      </c>
      <c r="K92" s="23">
        <f t="shared" si="30"/>
        <v>9.0909090909090912E-2</v>
      </c>
      <c r="L92" s="23">
        <f t="shared" si="30"/>
        <v>7.7272727272727285E-2</v>
      </c>
      <c r="M92" s="23">
        <f t="shared" si="30"/>
        <v>6.5681818181818175E-2</v>
      </c>
      <c r="N92" s="23">
        <f t="shared" si="30"/>
        <v>6.5681818181818175E-2</v>
      </c>
      <c r="O92" s="23">
        <f t="shared" si="30"/>
        <v>6.5681818181818175E-2</v>
      </c>
      <c r="P92" s="23">
        <f t="shared" si="30"/>
        <v>6.5681818181818175E-2</v>
      </c>
      <c r="Q92" s="23">
        <f t="shared" si="30"/>
        <v>6.5681818181818175E-2</v>
      </c>
      <c r="R92" s="23">
        <f t="shared" si="30"/>
        <v>6.5681818181818175E-2</v>
      </c>
      <c r="S92" s="23">
        <f t="shared" si="30"/>
        <v>6.5681818181818175E-2</v>
      </c>
    </row>
    <row r="93" spans="1:19" outlineLevel="1"/>
    <row r="94" spans="1:19" outlineLevel="1"/>
    <row r="95" spans="1:19" outlineLevel="1">
      <c r="B95" s="20" t="s">
        <v>48</v>
      </c>
    </row>
    <row r="96" spans="1:19" outlineLevel="2">
      <c r="E96" s="1" t="str">
        <f t="shared" ref="E96:S96" si="31" xml:space="preserve">  E$73</f>
        <v>Investor Cofounder Shares</v>
      </c>
      <c r="F96" s="1">
        <f t="shared" si="31"/>
        <v>0</v>
      </c>
      <c r="G96" s="1" t="str">
        <f t="shared" si="31"/>
        <v>Shares</v>
      </c>
      <c r="H96" s="1">
        <f t="shared" si="31"/>
        <v>0</v>
      </c>
      <c r="I96" s="1">
        <f t="shared" si="31"/>
        <v>500</v>
      </c>
      <c r="J96" s="1">
        <f t="shared" si="31"/>
        <v>500</v>
      </c>
      <c r="K96" s="1">
        <f t="shared" si="31"/>
        <v>500</v>
      </c>
      <c r="L96" s="1">
        <f t="shared" si="31"/>
        <v>500</v>
      </c>
      <c r="M96" s="1">
        <f t="shared" si="31"/>
        <v>500</v>
      </c>
      <c r="N96" s="1">
        <f t="shared" si="31"/>
        <v>500</v>
      </c>
      <c r="O96" s="1">
        <f t="shared" si="31"/>
        <v>500</v>
      </c>
      <c r="P96" s="1">
        <f t="shared" si="31"/>
        <v>500</v>
      </c>
      <c r="Q96" s="1">
        <f t="shared" si="31"/>
        <v>500</v>
      </c>
      <c r="R96" s="1">
        <f t="shared" si="31"/>
        <v>500</v>
      </c>
      <c r="S96" s="1">
        <f t="shared" si="31"/>
        <v>500</v>
      </c>
    </row>
    <row r="97" spans="1:19" outlineLevel="2">
      <c r="A97" s="18"/>
      <c r="B97" s="18"/>
      <c r="C97" s="28"/>
      <c r="D97" s="29"/>
      <c r="E97" s="3" t="str">
        <f xml:space="preserve">  'Company Report'!E$17</f>
        <v>Total Shares In Issue</v>
      </c>
      <c r="F97" s="3">
        <f xml:space="preserve">  'Company Report'!F$17</f>
        <v>0</v>
      </c>
      <c r="G97" s="3" t="str">
        <f xml:space="preserve">  'Company Report'!G$17</f>
        <v>GBP</v>
      </c>
      <c r="H97" s="3">
        <f xml:space="preserve">  'Company Report'!H$17</f>
        <v>0</v>
      </c>
      <c r="I97" s="3">
        <f xml:space="preserve">  'Company Report'!I$17</f>
        <v>0</v>
      </c>
      <c r="J97" s="3">
        <f xml:space="preserve">  'Company Report'!J$17</f>
        <v>1000</v>
      </c>
      <c r="K97" s="3">
        <f xml:space="preserve">  'Company Report'!K$17</f>
        <v>1100</v>
      </c>
      <c r="L97" s="3">
        <f xml:space="preserve">  'Company Report'!L$17</f>
        <v>1294.1176470588234</v>
      </c>
      <c r="M97" s="3">
        <f xml:space="preserve">  'Company Report'!M$17</f>
        <v>1522.4913494809689</v>
      </c>
      <c r="N97" s="3">
        <f xml:space="preserve">  'Company Report'!N$17</f>
        <v>1522.4913494809689</v>
      </c>
      <c r="O97" s="3">
        <f xml:space="preserve">  'Company Report'!O$17</f>
        <v>1522.4913494809689</v>
      </c>
      <c r="P97" s="3">
        <f xml:space="preserve">  'Company Report'!P$17</f>
        <v>1522.4913494809689</v>
      </c>
      <c r="Q97" s="3">
        <f xml:space="preserve">  'Company Report'!Q$17</f>
        <v>1522.4913494809689</v>
      </c>
      <c r="R97" s="3">
        <f xml:space="preserve">  'Company Report'!R$17</f>
        <v>1522.4913494809689</v>
      </c>
      <c r="S97" s="3">
        <f xml:space="preserve">  'Company Report'!S$17</f>
        <v>1522.4913494809689</v>
      </c>
    </row>
    <row r="98" spans="1:19" outlineLevel="2">
      <c r="A98" s="24"/>
      <c r="B98" s="24"/>
      <c r="C98" s="45"/>
      <c r="D98" s="43"/>
      <c r="E98" s="14" t="s">
        <v>48</v>
      </c>
      <c r="F98" s="14"/>
      <c r="G98" s="14" t="s">
        <v>111</v>
      </c>
      <c r="H98" s="14"/>
      <c r="I98" s="14"/>
      <c r="J98" s="23">
        <f t="shared" ref="J98:S98" si="32" xml:space="preserve">  J96 / J97</f>
        <v>0.5</v>
      </c>
      <c r="K98" s="23">
        <f t="shared" si="32"/>
        <v>0.45454545454545453</v>
      </c>
      <c r="L98" s="23">
        <f t="shared" si="32"/>
        <v>0.38636363636363641</v>
      </c>
      <c r="M98" s="23">
        <f t="shared" si="32"/>
        <v>0.32840909090909093</v>
      </c>
      <c r="N98" s="23">
        <f t="shared" si="32"/>
        <v>0.32840909090909093</v>
      </c>
      <c r="O98" s="23">
        <f t="shared" si="32"/>
        <v>0.32840909090909093</v>
      </c>
      <c r="P98" s="23">
        <f t="shared" si="32"/>
        <v>0.32840909090909093</v>
      </c>
      <c r="Q98" s="23">
        <f t="shared" si="32"/>
        <v>0.32840909090909093</v>
      </c>
      <c r="R98" s="23">
        <f t="shared" si="32"/>
        <v>0.32840909090909093</v>
      </c>
      <c r="S98" s="23">
        <f t="shared" si="32"/>
        <v>0.32840909090909093</v>
      </c>
    </row>
    <row r="99" spans="1:19" outlineLevel="1"/>
    <row r="100" spans="1:19" outlineLevel="1"/>
    <row r="101" spans="1:19" outlineLevel="1">
      <c r="B101" s="20" t="s">
        <v>154</v>
      </c>
    </row>
    <row r="102" spans="1:19" outlineLevel="2">
      <c r="E102" s="1" t="str">
        <f t="shared" ref="E102:S102" si="33" xml:space="preserve">  E$80</f>
        <v>Other Investor Shares</v>
      </c>
      <c r="F102" s="1">
        <f t="shared" si="33"/>
        <v>0</v>
      </c>
      <c r="G102" s="1" t="str">
        <f t="shared" si="33"/>
        <v>Shares</v>
      </c>
      <c r="H102" s="1">
        <f t="shared" si="33"/>
        <v>0</v>
      </c>
      <c r="I102" s="1">
        <f t="shared" si="33"/>
        <v>0</v>
      </c>
      <c r="J102" s="1">
        <f t="shared" si="33"/>
        <v>0</v>
      </c>
      <c r="K102" s="1">
        <f t="shared" si="33"/>
        <v>100</v>
      </c>
      <c r="L102" s="1">
        <f t="shared" si="33"/>
        <v>294.11764705882354</v>
      </c>
      <c r="M102" s="1">
        <f t="shared" si="33"/>
        <v>522.49134948096889</v>
      </c>
      <c r="N102" s="1">
        <f t="shared" si="33"/>
        <v>522.49134948096889</v>
      </c>
      <c r="O102" s="1">
        <f t="shared" si="33"/>
        <v>522.49134948096889</v>
      </c>
      <c r="P102" s="1">
        <f t="shared" si="33"/>
        <v>522.49134948096889</v>
      </c>
      <c r="Q102" s="1">
        <f t="shared" si="33"/>
        <v>522.49134948096889</v>
      </c>
      <c r="R102" s="1">
        <f t="shared" si="33"/>
        <v>522.49134948096889</v>
      </c>
      <c r="S102" s="1">
        <f t="shared" si="33"/>
        <v>522.49134948096889</v>
      </c>
    </row>
    <row r="103" spans="1:19" outlineLevel="2">
      <c r="A103" s="18"/>
      <c r="B103" s="18"/>
      <c r="C103" s="28"/>
      <c r="D103" s="29"/>
      <c r="E103" s="3" t="str">
        <f xml:space="preserve">  'Company Report'!E$17</f>
        <v>Total Shares In Issue</v>
      </c>
      <c r="F103" s="3">
        <f xml:space="preserve">  'Company Report'!F$17</f>
        <v>0</v>
      </c>
      <c r="G103" s="3" t="str">
        <f xml:space="preserve">  'Company Report'!G$17</f>
        <v>GBP</v>
      </c>
      <c r="H103" s="3">
        <f xml:space="preserve">  'Company Report'!H$17</f>
        <v>0</v>
      </c>
      <c r="I103" s="3">
        <f xml:space="preserve">  'Company Report'!I$17</f>
        <v>0</v>
      </c>
      <c r="J103" s="3">
        <f xml:space="preserve">  'Company Report'!J$17</f>
        <v>1000</v>
      </c>
      <c r="K103" s="3">
        <f xml:space="preserve">  'Company Report'!K$17</f>
        <v>1100</v>
      </c>
      <c r="L103" s="3">
        <f xml:space="preserve">  'Company Report'!L$17</f>
        <v>1294.1176470588234</v>
      </c>
      <c r="M103" s="3">
        <f xml:space="preserve">  'Company Report'!M$17</f>
        <v>1522.4913494809689</v>
      </c>
      <c r="N103" s="3">
        <f xml:space="preserve">  'Company Report'!N$17</f>
        <v>1522.4913494809689</v>
      </c>
      <c r="O103" s="3">
        <f xml:space="preserve">  'Company Report'!O$17</f>
        <v>1522.4913494809689</v>
      </c>
      <c r="P103" s="3">
        <f xml:space="preserve">  'Company Report'!P$17</f>
        <v>1522.4913494809689</v>
      </c>
      <c r="Q103" s="3">
        <f xml:space="preserve">  'Company Report'!Q$17</f>
        <v>1522.4913494809689</v>
      </c>
      <c r="R103" s="3">
        <f xml:space="preserve">  'Company Report'!R$17</f>
        <v>1522.4913494809689</v>
      </c>
      <c r="S103" s="3">
        <f xml:space="preserve">  'Company Report'!S$17</f>
        <v>1522.4913494809689</v>
      </c>
    </row>
    <row r="104" spans="1:19" outlineLevel="2">
      <c r="A104" s="24"/>
      <c r="B104" s="24"/>
      <c r="C104" s="45"/>
      <c r="D104" s="43"/>
      <c r="E104" s="14" t="s">
        <v>154</v>
      </c>
      <c r="F104" s="14"/>
      <c r="G104" s="14" t="s">
        <v>111</v>
      </c>
      <c r="H104" s="14"/>
      <c r="I104" s="14"/>
      <c r="J104" s="23">
        <f t="shared" ref="J104:S104" si="34" xml:space="preserve">  J102 / J103</f>
        <v>0</v>
      </c>
      <c r="K104" s="23">
        <f t="shared" si="34"/>
        <v>9.0909090909090912E-2</v>
      </c>
      <c r="L104" s="23">
        <f t="shared" si="34"/>
        <v>0.22727272727272729</v>
      </c>
      <c r="M104" s="23">
        <f t="shared" si="34"/>
        <v>0.3431818181818182</v>
      </c>
      <c r="N104" s="23">
        <f t="shared" si="34"/>
        <v>0.3431818181818182</v>
      </c>
      <c r="O104" s="23">
        <f t="shared" si="34"/>
        <v>0.3431818181818182</v>
      </c>
      <c r="P104" s="23">
        <f t="shared" si="34"/>
        <v>0.3431818181818182</v>
      </c>
      <c r="Q104" s="23">
        <f t="shared" si="34"/>
        <v>0.3431818181818182</v>
      </c>
      <c r="R104" s="23">
        <f t="shared" si="34"/>
        <v>0.3431818181818182</v>
      </c>
      <c r="S104" s="23">
        <f t="shared" si="34"/>
        <v>0.3431818181818182</v>
      </c>
    </row>
    <row r="105" spans="1:19" outlineLevel="1"/>
    <row r="107" spans="1:19">
      <c r="A107" s="20" t="s">
        <v>65</v>
      </c>
    </row>
    <row r="108" spans="1:19" outlineLevel="1">
      <c r="B108" s="20" t="s">
        <v>125</v>
      </c>
    </row>
    <row r="109" spans="1:19" outlineLevel="2">
      <c r="A109" s="18"/>
      <c r="B109" s="18"/>
      <c r="C109" s="28"/>
      <c r="D109" s="29"/>
      <c r="E109" s="3" t="str">
        <f xml:space="preserve">  InpC!E$25</f>
        <v>Nominal Price per Share</v>
      </c>
      <c r="F109" s="3">
        <f xml:space="preserve">  InpC!F$25</f>
        <v>1E-3</v>
      </c>
      <c r="G109" s="3" t="str">
        <f xml:space="preserve">  InpC!G$25</f>
        <v>GBP</v>
      </c>
      <c r="M109" s="2"/>
    </row>
    <row r="110" spans="1:19" outlineLevel="2">
      <c r="A110" s="18"/>
      <c r="B110" s="18"/>
      <c r="C110" s="28"/>
      <c r="D110" s="29"/>
      <c r="E110" s="9" t="str">
        <f xml:space="preserve">  Time!E$16</f>
        <v>Period number</v>
      </c>
      <c r="F110" s="9">
        <f xml:space="preserve">  Time!F$16</f>
        <v>0</v>
      </c>
      <c r="G110" s="9" t="str">
        <f xml:space="preserve">  Time!G$16</f>
        <v>Counter</v>
      </c>
      <c r="H110" s="9">
        <f xml:space="preserve">  Time!H$16</f>
        <v>0</v>
      </c>
      <c r="I110" s="9">
        <f xml:space="preserve">  Time!I$16</f>
        <v>0</v>
      </c>
      <c r="J110" s="9">
        <f xml:space="preserve">  Time!J$16</f>
        <v>1</v>
      </c>
      <c r="K110" s="9">
        <f xml:space="preserve">  Time!K$16</f>
        <v>2</v>
      </c>
      <c r="L110" s="9">
        <f xml:space="preserve">  Time!L$16</f>
        <v>3</v>
      </c>
      <c r="M110" s="9">
        <f xml:space="preserve">  Time!M$16</f>
        <v>4</v>
      </c>
      <c r="N110" s="9">
        <f xml:space="preserve">  Time!N$16</f>
        <v>5</v>
      </c>
      <c r="O110" s="9">
        <f xml:space="preserve">  Time!O$16</f>
        <v>6</v>
      </c>
      <c r="P110" s="9">
        <f xml:space="preserve">  Time!P$16</f>
        <v>7</v>
      </c>
      <c r="Q110" s="9">
        <f xml:space="preserve">  Time!Q$16</f>
        <v>8</v>
      </c>
      <c r="R110" s="9">
        <f xml:space="preserve">  Time!R$16</f>
        <v>9</v>
      </c>
      <c r="S110" s="9">
        <f xml:space="preserve">  Time!S$16</f>
        <v>10</v>
      </c>
    </row>
    <row r="111" spans="1:19" outlineLevel="2">
      <c r="E111" s="2" t="str">
        <f t="shared" ref="E111:S111" si="35" xml:space="preserve">  E$22</f>
        <v>Total New Capital Raised From Equity</v>
      </c>
      <c r="F111" s="2">
        <f t="shared" si="35"/>
        <v>0</v>
      </c>
      <c r="G111" s="2" t="str">
        <f t="shared" si="35"/>
        <v>GBP</v>
      </c>
      <c r="H111" s="2">
        <f t="shared" si="35"/>
        <v>2500000</v>
      </c>
      <c r="I111" s="2">
        <f t="shared" si="35"/>
        <v>0</v>
      </c>
      <c r="J111" s="2">
        <f t="shared" si="35"/>
        <v>0</v>
      </c>
      <c r="K111" s="2">
        <f t="shared" si="35"/>
        <v>250000</v>
      </c>
      <c r="L111" s="2">
        <f t="shared" si="35"/>
        <v>750000</v>
      </c>
      <c r="M111" s="2">
        <f t="shared" si="35"/>
        <v>1500000</v>
      </c>
      <c r="N111" s="2">
        <f t="shared" si="35"/>
        <v>0</v>
      </c>
      <c r="O111" s="2">
        <f t="shared" si="35"/>
        <v>0</v>
      </c>
      <c r="P111" s="2">
        <f t="shared" si="35"/>
        <v>0</v>
      </c>
      <c r="Q111" s="2">
        <f t="shared" si="35"/>
        <v>0</v>
      </c>
      <c r="R111" s="2">
        <f t="shared" si="35"/>
        <v>0</v>
      </c>
      <c r="S111" s="2">
        <f t="shared" si="35"/>
        <v>0</v>
      </c>
    </row>
    <row r="112" spans="1:19" outlineLevel="2">
      <c r="A112" s="18"/>
      <c r="B112" s="18"/>
      <c r="C112" s="28"/>
      <c r="D112" s="29"/>
      <c r="E112" s="3" t="str">
        <f xml:space="preserve">  InpS!E$20</f>
        <v>Pre-Money Valuation</v>
      </c>
      <c r="F112" s="3">
        <f xml:space="preserve">  InpS!F$20</f>
        <v>0</v>
      </c>
      <c r="G112" s="3" t="str">
        <f xml:space="preserve">  InpS!G$20</f>
        <v>GBP</v>
      </c>
      <c r="H112" s="3">
        <f xml:space="preserve">  InpS!H$20</f>
        <v>15250000</v>
      </c>
      <c r="I112" s="3">
        <f xml:space="preserve">  InpS!I$20</f>
        <v>0</v>
      </c>
      <c r="J112" s="3">
        <f xml:space="preserve">  InpS!J$20</f>
        <v>0</v>
      </c>
      <c r="K112" s="3">
        <f xml:space="preserve">  InpS!K$20</f>
        <v>2500000</v>
      </c>
      <c r="L112" s="3">
        <f xml:space="preserve">  InpS!L$20</f>
        <v>4250000</v>
      </c>
      <c r="M112" s="3">
        <f xml:space="preserve">  InpS!M$20</f>
        <v>8500000</v>
      </c>
      <c r="N112" s="3">
        <f xml:space="preserve">  InpS!N$20</f>
        <v>0</v>
      </c>
      <c r="O112" s="3">
        <f xml:space="preserve">  InpS!O$20</f>
        <v>0</v>
      </c>
      <c r="P112" s="3">
        <f xml:space="preserve">  InpS!P$20</f>
        <v>0</v>
      </c>
      <c r="Q112" s="3">
        <f xml:space="preserve">  InpS!Q$20</f>
        <v>0</v>
      </c>
      <c r="R112" s="3">
        <f xml:space="preserve">  InpS!R$20</f>
        <v>0</v>
      </c>
      <c r="S112" s="3">
        <f xml:space="preserve">  InpS!S$20</f>
        <v>0</v>
      </c>
    </row>
    <row r="113" spans="1:19" outlineLevel="2">
      <c r="A113" s="18"/>
      <c r="B113" s="18"/>
      <c r="C113" s="28"/>
      <c r="D113" s="29"/>
      <c r="E113" s="3" t="str">
        <f xml:space="preserve">  'Company Report'!E$17</f>
        <v>Total Shares In Issue</v>
      </c>
      <c r="F113" s="3">
        <f xml:space="preserve">  'Company Report'!F$17</f>
        <v>0</v>
      </c>
      <c r="G113" s="3" t="str">
        <f xml:space="preserve">  'Company Report'!G$17</f>
        <v>GBP</v>
      </c>
      <c r="H113" s="3">
        <f xml:space="preserve">  'Company Report'!H$17</f>
        <v>0</v>
      </c>
      <c r="I113" s="3">
        <f xml:space="preserve">  'Company Report'!I$17</f>
        <v>0</v>
      </c>
      <c r="J113" s="3">
        <f xml:space="preserve">  'Company Report'!J$17</f>
        <v>1000</v>
      </c>
      <c r="K113" s="3">
        <f xml:space="preserve">  'Company Report'!K$17</f>
        <v>1100</v>
      </c>
      <c r="L113" s="3">
        <f xml:space="preserve">  'Company Report'!L$17</f>
        <v>1294.1176470588234</v>
      </c>
      <c r="M113" s="3">
        <f xml:space="preserve">  'Company Report'!M$17</f>
        <v>1522.4913494809689</v>
      </c>
      <c r="N113" s="3">
        <f xml:space="preserve">  'Company Report'!N$17</f>
        <v>1522.4913494809689</v>
      </c>
      <c r="O113" s="3">
        <f xml:space="preserve">  'Company Report'!O$17</f>
        <v>1522.4913494809689</v>
      </c>
      <c r="P113" s="3">
        <f xml:space="preserve">  'Company Report'!P$17</f>
        <v>1522.4913494809689</v>
      </c>
      <c r="Q113" s="3">
        <f xml:space="preserve">  'Company Report'!Q$17</f>
        <v>1522.4913494809689</v>
      </c>
      <c r="R113" s="3">
        <f xml:space="preserve">  'Company Report'!R$17</f>
        <v>1522.4913494809689</v>
      </c>
      <c r="S113" s="3">
        <f xml:space="preserve">  'Company Report'!S$17</f>
        <v>1522.4913494809689</v>
      </c>
    </row>
    <row r="114" spans="1:19" outlineLevel="2">
      <c r="A114" s="24"/>
      <c r="B114" s="24"/>
      <c r="C114" s="45"/>
      <c r="D114" s="43"/>
      <c r="E114" s="14" t="s">
        <v>125</v>
      </c>
      <c r="F114" s="14"/>
      <c r="G114" s="14" t="s">
        <v>132</v>
      </c>
      <c r="H114" s="6">
        <f xml:space="preserve"> SUM( J114:S114 )</f>
        <v>52340.910090909092</v>
      </c>
      <c r="I114" s="14"/>
      <c r="J114" s="6">
        <f t="shared" ref="J114:S114" si="36" xml:space="preserve">  IF( J110 = 1, $F109, IF( J111 = 0, I114, J112 / I113 ) )</f>
        <v>1E-3</v>
      </c>
      <c r="K114" s="6">
        <f t="shared" si="36"/>
        <v>2500</v>
      </c>
      <c r="L114" s="6">
        <f t="shared" si="36"/>
        <v>3863.6363636363635</v>
      </c>
      <c r="M114" s="6">
        <f t="shared" si="36"/>
        <v>6568.1818181818189</v>
      </c>
      <c r="N114" s="6">
        <f t="shared" si="36"/>
        <v>6568.1818181818189</v>
      </c>
      <c r="O114" s="6">
        <f t="shared" si="36"/>
        <v>6568.1818181818189</v>
      </c>
      <c r="P114" s="6">
        <f t="shared" si="36"/>
        <v>6568.1818181818189</v>
      </c>
      <c r="Q114" s="6">
        <f t="shared" si="36"/>
        <v>6568.1818181818189</v>
      </c>
      <c r="R114" s="6">
        <f t="shared" si="36"/>
        <v>6568.1818181818189</v>
      </c>
      <c r="S114" s="6">
        <f t="shared" si="36"/>
        <v>6568.1818181818189</v>
      </c>
    </row>
    <row r="115" spans="1:19" outlineLevel="1"/>
    <row r="116" spans="1:19" outlineLevel="1"/>
    <row r="117" spans="1:19" outlineLevel="1">
      <c r="B117" s="20" t="s">
        <v>80</v>
      </c>
    </row>
    <row r="118" spans="1:19" outlineLevel="2">
      <c r="E118" s="1" t="str">
        <f t="shared" ref="E118:S118" si="37" xml:space="preserve">  E$66</f>
        <v>Sector Cofounder Shares</v>
      </c>
      <c r="F118" s="1">
        <f t="shared" si="37"/>
        <v>0</v>
      </c>
      <c r="G118" s="1" t="str">
        <f t="shared" si="37"/>
        <v>Shares</v>
      </c>
      <c r="H118" s="1">
        <f t="shared" si="37"/>
        <v>0</v>
      </c>
      <c r="I118" s="1">
        <f t="shared" si="37"/>
        <v>400</v>
      </c>
      <c r="J118" s="1">
        <f t="shared" si="37"/>
        <v>400</v>
      </c>
      <c r="K118" s="1">
        <f t="shared" si="37"/>
        <v>400</v>
      </c>
      <c r="L118" s="1">
        <f t="shared" si="37"/>
        <v>400</v>
      </c>
      <c r="M118" s="1">
        <f t="shared" si="37"/>
        <v>400</v>
      </c>
      <c r="N118" s="1">
        <f t="shared" si="37"/>
        <v>400</v>
      </c>
      <c r="O118" s="1">
        <f t="shared" si="37"/>
        <v>400</v>
      </c>
      <c r="P118" s="1">
        <f t="shared" si="37"/>
        <v>400</v>
      </c>
      <c r="Q118" s="1">
        <f t="shared" si="37"/>
        <v>400</v>
      </c>
      <c r="R118" s="1">
        <f t="shared" si="37"/>
        <v>400</v>
      </c>
      <c r="S118" s="1">
        <f t="shared" si="37"/>
        <v>400</v>
      </c>
    </row>
    <row r="119" spans="1:19" outlineLevel="2">
      <c r="E119" s="2" t="str">
        <f t="shared" ref="E119:S119" si="38" xml:space="preserve">  E$114</f>
        <v>Price per Share</v>
      </c>
      <c r="F119" s="2">
        <f t="shared" si="38"/>
        <v>0</v>
      </c>
      <c r="G119" s="2" t="str">
        <f t="shared" si="38"/>
        <v>GBP</v>
      </c>
      <c r="H119" s="2">
        <f t="shared" si="38"/>
        <v>52340.910090909092</v>
      </c>
      <c r="I119" s="2">
        <f t="shared" si="38"/>
        <v>0</v>
      </c>
      <c r="J119" s="2">
        <f t="shared" si="38"/>
        <v>1E-3</v>
      </c>
      <c r="K119" s="2">
        <f t="shared" si="38"/>
        <v>2500</v>
      </c>
      <c r="L119" s="2">
        <f t="shared" si="38"/>
        <v>3863.6363636363635</v>
      </c>
      <c r="M119" s="2">
        <f t="shared" si="38"/>
        <v>6568.1818181818189</v>
      </c>
      <c r="N119" s="2">
        <f t="shared" si="38"/>
        <v>6568.1818181818189</v>
      </c>
      <c r="O119" s="2">
        <f t="shared" si="38"/>
        <v>6568.1818181818189</v>
      </c>
      <c r="P119" s="2">
        <f t="shared" si="38"/>
        <v>6568.1818181818189</v>
      </c>
      <c r="Q119" s="2">
        <f t="shared" si="38"/>
        <v>6568.1818181818189</v>
      </c>
      <c r="R119" s="2">
        <f t="shared" si="38"/>
        <v>6568.1818181818189</v>
      </c>
      <c r="S119" s="2">
        <f t="shared" si="38"/>
        <v>6568.1818181818189</v>
      </c>
    </row>
    <row r="120" spans="1:19" outlineLevel="2">
      <c r="A120" s="24"/>
      <c r="B120" s="24"/>
      <c r="C120" s="45"/>
      <c r="D120" s="43"/>
      <c r="E120" s="14" t="s">
        <v>80</v>
      </c>
      <c r="F120" s="14"/>
      <c r="G120" s="14" t="s">
        <v>132</v>
      </c>
      <c r="H120" s="6">
        <f xml:space="preserve"> SUM( J120:S120 )</f>
        <v>20936364.036363635</v>
      </c>
      <c r="I120" s="14"/>
      <c r="J120" s="6">
        <f t="shared" ref="J120:S120" si="39" xml:space="preserve">  J118 * J119</f>
        <v>0.4</v>
      </c>
      <c r="K120" s="6">
        <f t="shared" si="39"/>
        <v>1000000</v>
      </c>
      <c r="L120" s="6">
        <f t="shared" si="39"/>
        <v>1545454.5454545454</v>
      </c>
      <c r="M120" s="6">
        <f t="shared" si="39"/>
        <v>2627272.7272727275</v>
      </c>
      <c r="N120" s="6">
        <f t="shared" si="39"/>
        <v>2627272.7272727275</v>
      </c>
      <c r="O120" s="6">
        <f t="shared" si="39"/>
        <v>2627272.7272727275</v>
      </c>
      <c r="P120" s="6">
        <f t="shared" si="39"/>
        <v>2627272.7272727275</v>
      </c>
      <c r="Q120" s="6">
        <f t="shared" si="39"/>
        <v>2627272.7272727275</v>
      </c>
      <c r="R120" s="6">
        <f t="shared" si="39"/>
        <v>2627272.7272727275</v>
      </c>
      <c r="S120" s="6">
        <f t="shared" si="39"/>
        <v>2627272.7272727275</v>
      </c>
    </row>
    <row r="121" spans="1:19" outlineLevel="1"/>
    <row r="122" spans="1:19" outlineLevel="1"/>
    <row r="123" spans="1:19" outlineLevel="1">
      <c r="B123" s="20" t="s">
        <v>170</v>
      </c>
    </row>
    <row r="124" spans="1:19" outlineLevel="2">
      <c r="E124" s="1" t="str">
        <f t="shared" ref="E124:S124" si="40" xml:space="preserve">  E$59</f>
        <v>Studio Cofounder Shares</v>
      </c>
      <c r="F124" s="1">
        <f t="shared" si="40"/>
        <v>0</v>
      </c>
      <c r="G124" s="1" t="str">
        <f t="shared" si="40"/>
        <v>Shares</v>
      </c>
      <c r="H124" s="1">
        <f t="shared" si="40"/>
        <v>0</v>
      </c>
      <c r="I124" s="1">
        <f t="shared" si="40"/>
        <v>100</v>
      </c>
      <c r="J124" s="1">
        <f t="shared" si="40"/>
        <v>100</v>
      </c>
      <c r="K124" s="1">
        <f t="shared" si="40"/>
        <v>100</v>
      </c>
      <c r="L124" s="1">
        <f t="shared" si="40"/>
        <v>100</v>
      </c>
      <c r="M124" s="1">
        <f t="shared" si="40"/>
        <v>100</v>
      </c>
      <c r="N124" s="1">
        <f t="shared" si="40"/>
        <v>100</v>
      </c>
      <c r="O124" s="1">
        <f t="shared" si="40"/>
        <v>100</v>
      </c>
      <c r="P124" s="1">
        <f t="shared" si="40"/>
        <v>100</v>
      </c>
      <c r="Q124" s="1">
        <f t="shared" si="40"/>
        <v>100</v>
      </c>
      <c r="R124" s="1">
        <f t="shared" si="40"/>
        <v>100</v>
      </c>
      <c r="S124" s="1">
        <f t="shared" si="40"/>
        <v>100</v>
      </c>
    </row>
    <row r="125" spans="1:19" outlineLevel="2">
      <c r="E125" s="2" t="str">
        <f t="shared" ref="E125:S125" si="41" xml:space="preserve">  E$114</f>
        <v>Price per Share</v>
      </c>
      <c r="F125" s="2">
        <f t="shared" si="41"/>
        <v>0</v>
      </c>
      <c r="G125" s="2" t="str">
        <f t="shared" si="41"/>
        <v>GBP</v>
      </c>
      <c r="H125" s="2">
        <f t="shared" si="41"/>
        <v>52340.910090909092</v>
      </c>
      <c r="I125" s="2">
        <f t="shared" si="41"/>
        <v>0</v>
      </c>
      <c r="J125" s="2">
        <f t="shared" si="41"/>
        <v>1E-3</v>
      </c>
      <c r="K125" s="2">
        <f t="shared" si="41"/>
        <v>2500</v>
      </c>
      <c r="L125" s="2">
        <f t="shared" si="41"/>
        <v>3863.6363636363635</v>
      </c>
      <c r="M125" s="2">
        <f t="shared" si="41"/>
        <v>6568.1818181818189</v>
      </c>
      <c r="N125" s="2">
        <f t="shared" si="41"/>
        <v>6568.1818181818189</v>
      </c>
      <c r="O125" s="2">
        <f t="shared" si="41"/>
        <v>6568.1818181818189</v>
      </c>
      <c r="P125" s="2">
        <f t="shared" si="41"/>
        <v>6568.1818181818189</v>
      </c>
      <c r="Q125" s="2">
        <f t="shared" si="41"/>
        <v>6568.1818181818189</v>
      </c>
      <c r="R125" s="2">
        <f t="shared" si="41"/>
        <v>6568.1818181818189</v>
      </c>
      <c r="S125" s="2">
        <f t="shared" si="41"/>
        <v>6568.1818181818189</v>
      </c>
    </row>
    <row r="126" spans="1:19" outlineLevel="2">
      <c r="A126" s="24"/>
      <c r="B126" s="24"/>
      <c r="C126" s="45"/>
      <c r="D126" s="43"/>
      <c r="E126" s="14" t="s">
        <v>170</v>
      </c>
      <c r="F126" s="14"/>
      <c r="G126" s="14" t="s">
        <v>132</v>
      </c>
      <c r="H126" s="6">
        <f xml:space="preserve"> SUM( J126:S126 )</f>
        <v>5234091.0090909088</v>
      </c>
      <c r="I126" s="14"/>
      <c r="J126" s="6">
        <f t="shared" ref="J126:S126" si="42" xml:space="preserve">  J124 * J125</f>
        <v>0.1</v>
      </c>
      <c r="K126" s="6">
        <f t="shared" si="42"/>
        <v>250000</v>
      </c>
      <c r="L126" s="6">
        <f t="shared" si="42"/>
        <v>386363.63636363635</v>
      </c>
      <c r="M126" s="6">
        <f t="shared" si="42"/>
        <v>656818.18181818188</v>
      </c>
      <c r="N126" s="6">
        <f t="shared" si="42"/>
        <v>656818.18181818188</v>
      </c>
      <c r="O126" s="6">
        <f t="shared" si="42"/>
        <v>656818.18181818188</v>
      </c>
      <c r="P126" s="6">
        <f t="shared" si="42"/>
        <v>656818.18181818188</v>
      </c>
      <c r="Q126" s="6">
        <f t="shared" si="42"/>
        <v>656818.18181818188</v>
      </c>
      <c r="R126" s="6">
        <f t="shared" si="42"/>
        <v>656818.18181818188</v>
      </c>
      <c r="S126" s="6">
        <f t="shared" si="42"/>
        <v>656818.18181818188</v>
      </c>
    </row>
    <row r="127" spans="1:19" outlineLevel="1"/>
    <row r="128" spans="1:19" outlineLevel="1"/>
    <row r="129" spans="1:19" outlineLevel="1">
      <c r="B129" s="20" t="s">
        <v>8</v>
      </c>
    </row>
    <row r="130" spans="1:19" outlineLevel="2">
      <c r="E130" s="1" t="str">
        <f t="shared" ref="E130:S130" si="43" xml:space="preserve">  E$73</f>
        <v>Investor Cofounder Shares</v>
      </c>
      <c r="F130" s="1">
        <f t="shared" si="43"/>
        <v>0</v>
      </c>
      <c r="G130" s="1" t="str">
        <f t="shared" si="43"/>
        <v>Shares</v>
      </c>
      <c r="H130" s="1">
        <f t="shared" si="43"/>
        <v>0</v>
      </c>
      <c r="I130" s="1">
        <f t="shared" si="43"/>
        <v>500</v>
      </c>
      <c r="J130" s="1">
        <f t="shared" si="43"/>
        <v>500</v>
      </c>
      <c r="K130" s="1">
        <f t="shared" si="43"/>
        <v>500</v>
      </c>
      <c r="L130" s="1">
        <f t="shared" si="43"/>
        <v>500</v>
      </c>
      <c r="M130" s="1">
        <f t="shared" si="43"/>
        <v>500</v>
      </c>
      <c r="N130" s="1">
        <f t="shared" si="43"/>
        <v>500</v>
      </c>
      <c r="O130" s="1">
        <f t="shared" si="43"/>
        <v>500</v>
      </c>
      <c r="P130" s="1">
        <f t="shared" si="43"/>
        <v>500</v>
      </c>
      <c r="Q130" s="1">
        <f t="shared" si="43"/>
        <v>500</v>
      </c>
      <c r="R130" s="1">
        <f t="shared" si="43"/>
        <v>500</v>
      </c>
      <c r="S130" s="1">
        <f t="shared" si="43"/>
        <v>500</v>
      </c>
    </row>
    <row r="131" spans="1:19" outlineLevel="2">
      <c r="E131" s="2" t="str">
        <f t="shared" ref="E131:S131" si="44" xml:space="preserve">  E$114</f>
        <v>Price per Share</v>
      </c>
      <c r="F131" s="2">
        <f t="shared" si="44"/>
        <v>0</v>
      </c>
      <c r="G131" s="2" t="str">
        <f t="shared" si="44"/>
        <v>GBP</v>
      </c>
      <c r="H131" s="2">
        <f t="shared" si="44"/>
        <v>52340.910090909092</v>
      </c>
      <c r="I131" s="2">
        <f t="shared" si="44"/>
        <v>0</v>
      </c>
      <c r="J131" s="2">
        <f t="shared" si="44"/>
        <v>1E-3</v>
      </c>
      <c r="K131" s="2">
        <f t="shared" si="44"/>
        <v>2500</v>
      </c>
      <c r="L131" s="2">
        <f t="shared" si="44"/>
        <v>3863.6363636363635</v>
      </c>
      <c r="M131" s="2">
        <f t="shared" si="44"/>
        <v>6568.1818181818189</v>
      </c>
      <c r="N131" s="2">
        <f t="shared" si="44"/>
        <v>6568.1818181818189</v>
      </c>
      <c r="O131" s="2">
        <f t="shared" si="44"/>
        <v>6568.1818181818189</v>
      </c>
      <c r="P131" s="2">
        <f t="shared" si="44"/>
        <v>6568.1818181818189</v>
      </c>
      <c r="Q131" s="2">
        <f t="shared" si="44"/>
        <v>6568.1818181818189</v>
      </c>
      <c r="R131" s="2">
        <f t="shared" si="44"/>
        <v>6568.1818181818189</v>
      </c>
      <c r="S131" s="2">
        <f t="shared" si="44"/>
        <v>6568.1818181818189</v>
      </c>
    </row>
    <row r="132" spans="1:19" outlineLevel="2">
      <c r="A132" s="24"/>
      <c r="B132" s="24"/>
      <c r="C132" s="45"/>
      <c r="D132" s="43"/>
      <c r="E132" s="14" t="s">
        <v>8</v>
      </c>
      <c r="F132" s="14"/>
      <c r="G132" s="14" t="s">
        <v>132</v>
      </c>
      <c r="H132" s="6">
        <f xml:space="preserve"> SUM( J132:S132 )</f>
        <v>26170455.045454551</v>
      </c>
      <c r="I132" s="14"/>
      <c r="J132" s="6">
        <f t="shared" ref="J132:S132" si="45" xml:space="preserve">  J130 * J131</f>
        <v>0.5</v>
      </c>
      <c r="K132" s="6">
        <f t="shared" si="45"/>
        <v>1250000</v>
      </c>
      <c r="L132" s="6">
        <f t="shared" si="45"/>
        <v>1931818.1818181816</v>
      </c>
      <c r="M132" s="6">
        <f t="shared" si="45"/>
        <v>3284090.9090909096</v>
      </c>
      <c r="N132" s="6">
        <f t="shared" si="45"/>
        <v>3284090.9090909096</v>
      </c>
      <c r="O132" s="6">
        <f t="shared" si="45"/>
        <v>3284090.9090909096</v>
      </c>
      <c r="P132" s="6">
        <f t="shared" si="45"/>
        <v>3284090.9090909096</v>
      </c>
      <c r="Q132" s="6">
        <f t="shared" si="45"/>
        <v>3284090.9090909096</v>
      </c>
      <c r="R132" s="6">
        <f t="shared" si="45"/>
        <v>3284090.9090909096</v>
      </c>
      <c r="S132" s="6">
        <f t="shared" si="45"/>
        <v>3284090.9090909096</v>
      </c>
    </row>
    <row r="133" spans="1:19" outlineLevel="1"/>
    <row r="134" spans="1:19" outlineLevel="1"/>
    <row r="135" spans="1:19" outlineLevel="1">
      <c r="B135" s="20" t="s">
        <v>146</v>
      </c>
    </row>
    <row r="136" spans="1:19" outlineLevel="2">
      <c r="E136" s="1" t="str">
        <f t="shared" ref="E136:S136" si="46" xml:space="preserve">  E$80</f>
        <v>Other Investor Shares</v>
      </c>
      <c r="F136" s="1">
        <f t="shared" si="46"/>
        <v>0</v>
      </c>
      <c r="G136" s="1" t="str">
        <f t="shared" si="46"/>
        <v>Shares</v>
      </c>
      <c r="H136" s="1">
        <f t="shared" si="46"/>
        <v>0</v>
      </c>
      <c r="I136" s="1">
        <f t="shared" si="46"/>
        <v>0</v>
      </c>
      <c r="J136" s="1">
        <f t="shared" si="46"/>
        <v>0</v>
      </c>
      <c r="K136" s="1">
        <f t="shared" si="46"/>
        <v>100</v>
      </c>
      <c r="L136" s="1">
        <f t="shared" si="46"/>
        <v>294.11764705882354</v>
      </c>
      <c r="M136" s="1">
        <f t="shared" si="46"/>
        <v>522.49134948096889</v>
      </c>
      <c r="N136" s="1">
        <f t="shared" si="46"/>
        <v>522.49134948096889</v>
      </c>
      <c r="O136" s="1">
        <f t="shared" si="46"/>
        <v>522.49134948096889</v>
      </c>
      <c r="P136" s="1">
        <f t="shared" si="46"/>
        <v>522.49134948096889</v>
      </c>
      <c r="Q136" s="1">
        <f t="shared" si="46"/>
        <v>522.49134948096889</v>
      </c>
      <c r="R136" s="1">
        <f t="shared" si="46"/>
        <v>522.49134948096889</v>
      </c>
      <c r="S136" s="1">
        <f t="shared" si="46"/>
        <v>522.49134948096889</v>
      </c>
    </row>
    <row r="137" spans="1:19" outlineLevel="2">
      <c r="E137" s="2" t="str">
        <f t="shared" ref="E137:S137" si="47" xml:space="preserve">  E$114</f>
        <v>Price per Share</v>
      </c>
      <c r="F137" s="2">
        <f t="shared" si="47"/>
        <v>0</v>
      </c>
      <c r="G137" s="2" t="str">
        <f t="shared" si="47"/>
        <v>GBP</v>
      </c>
      <c r="H137" s="2">
        <f t="shared" si="47"/>
        <v>52340.910090909092</v>
      </c>
      <c r="I137" s="2">
        <f t="shared" si="47"/>
        <v>0</v>
      </c>
      <c r="J137" s="2">
        <f t="shared" si="47"/>
        <v>1E-3</v>
      </c>
      <c r="K137" s="2">
        <f t="shared" si="47"/>
        <v>2500</v>
      </c>
      <c r="L137" s="2">
        <f t="shared" si="47"/>
        <v>3863.6363636363635</v>
      </c>
      <c r="M137" s="2">
        <f t="shared" si="47"/>
        <v>6568.1818181818189</v>
      </c>
      <c r="N137" s="2">
        <f t="shared" si="47"/>
        <v>6568.1818181818189</v>
      </c>
      <c r="O137" s="2">
        <f t="shared" si="47"/>
        <v>6568.1818181818189</v>
      </c>
      <c r="P137" s="2">
        <f t="shared" si="47"/>
        <v>6568.1818181818189</v>
      </c>
      <c r="Q137" s="2">
        <f t="shared" si="47"/>
        <v>6568.1818181818189</v>
      </c>
      <c r="R137" s="2">
        <f t="shared" si="47"/>
        <v>6568.1818181818189</v>
      </c>
      <c r="S137" s="2">
        <f t="shared" si="47"/>
        <v>6568.1818181818189</v>
      </c>
    </row>
    <row r="138" spans="1:19" outlineLevel="2">
      <c r="A138" s="24"/>
      <c r="B138" s="24"/>
      <c r="C138" s="45"/>
      <c r="D138" s="43"/>
      <c r="E138" s="14" t="s">
        <v>146</v>
      </c>
      <c r="F138" s="14"/>
      <c r="G138" s="14" t="s">
        <v>132</v>
      </c>
      <c r="H138" s="6">
        <f xml:space="preserve"> SUM( J138:S138 )</f>
        <v>25409090.909090918</v>
      </c>
      <c r="I138" s="14"/>
      <c r="J138" s="6">
        <f t="shared" ref="J138:S138" si="48" xml:space="preserve">  J136 * J137</f>
        <v>0</v>
      </c>
      <c r="K138" s="6">
        <f t="shared" si="48"/>
        <v>250000</v>
      </c>
      <c r="L138" s="6">
        <f t="shared" si="48"/>
        <v>1136363.6363636362</v>
      </c>
      <c r="M138" s="6">
        <f t="shared" si="48"/>
        <v>3431818.1818181826</v>
      </c>
      <c r="N138" s="6">
        <f t="shared" si="48"/>
        <v>3431818.1818181826</v>
      </c>
      <c r="O138" s="6">
        <f t="shared" si="48"/>
        <v>3431818.1818181826</v>
      </c>
      <c r="P138" s="6">
        <f t="shared" si="48"/>
        <v>3431818.1818181826</v>
      </c>
      <c r="Q138" s="6">
        <f t="shared" si="48"/>
        <v>3431818.1818181826</v>
      </c>
      <c r="R138" s="6">
        <f t="shared" si="48"/>
        <v>3431818.1818181826</v>
      </c>
      <c r="S138" s="6">
        <f t="shared" si="48"/>
        <v>3431818.1818181826</v>
      </c>
    </row>
    <row r="139" spans="1:19" outlineLevel="1"/>
    <row r="141" spans="1:19">
      <c r="A141" s="20" t="s">
        <v>144</v>
      </c>
    </row>
    <row r="142" spans="1:19" outlineLevel="1">
      <c r="B142" s="20" t="s">
        <v>21</v>
      </c>
    </row>
    <row r="143" spans="1:19" outlineLevel="2">
      <c r="A143" s="18"/>
      <c r="B143" s="18"/>
      <c r="C143" s="28"/>
      <c r="D143" s="29"/>
      <c r="E143" s="3" t="str">
        <f xml:space="preserve">  InpS!E$23</f>
        <v>Exit Value</v>
      </c>
      <c r="F143" s="3">
        <f xml:space="preserve">  InpS!F$23</f>
        <v>0</v>
      </c>
      <c r="G143" s="3" t="str">
        <f xml:space="preserve">  InpS!G$23</f>
        <v>GBP</v>
      </c>
      <c r="H143" s="3">
        <f xml:space="preserve">  InpS!H$23</f>
        <v>122500000</v>
      </c>
      <c r="I143" s="3">
        <f xml:space="preserve">  InpS!I$23</f>
        <v>0</v>
      </c>
      <c r="J143" s="3">
        <f xml:space="preserve">  InpS!J$23</f>
        <v>500000</v>
      </c>
      <c r="K143" s="3">
        <f xml:space="preserve">  InpS!K$23</f>
        <v>2000000</v>
      </c>
      <c r="L143" s="3">
        <f xml:space="preserve">  InpS!L$23</f>
        <v>5000000</v>
      </c>
      <c r="M143" s="3">
        <f xml:space="preserve">  InpS!M$23</f>
        <v>10000000</v>
      </c>
      <c r="N143" s="3">
        <f xml:space="preserve">  InpS!N$23</f>
        <v>20000000</v>
      </c>
      <c r="O143" s="3">
        <f xml:space="preserve">  InpS!O$23</f>
        <v>35000000</v>
      </c>
      <c r="P143" s="3">
        <f xml:space="preserve">  InpS!P$23</f>
        <v>50000000</v>
      </c>
      <c r="Q143" s="3">
        <f xml:space="preserve">  InpS!Q$23</f>
        <v>0</v>
      </c>
      <c r="R143" s="3">
        <f xml:space="preserve">  InpS!R$23</f>
        <v>0</v>
      </c>
      <c r="S143" s="3">
        <f xml:space="preserve">  InpS!S$23</f>
        <v>0</v>
      </c>
    </row>
    <row r="144" spans="1:19" outlineLevel="2">
      <c r="A144" s="24"/>
      <c r="B144" s="24"/>
      <c r="C144" s="45"/>
      <c r="D144" s="43"/>
      <c r="E144" s="14" t="s">
        <v>21</v>
      </c>
      <c r="F144" s="14"/>
      <c r="G144" s="14" t="s">
        <v>132</v>
      </c>
      <c r="H144" s="6">
        <f xml:space="preserve"> SUM( J144:S144 )</f>
        <v>122500000</v>
      </c>
      <c r="I144" s="14"/>
      <c r="J144" s="6">
        <f t="shared" ref="J144:S144" si="49" xml:space="preserve">  J143</f>
        <v>500000</v>
      </c>
      <c r="K144" s="6">
        <f t="shared" si="49"/>
        <v>2000000</v>
      </c>
      <c r="L144" s="6">
        <f t="shared" si="49"/>
        <v>5000000</v>
      </c>
      <c r="M144" s="6">
        <f t="shared" si="49"/>
        <v>10000000</v>
      </c>
      <c r="N144" s="6">
        <f t="shared" si="49"/>
        <v>20000000</v>
      </c>
      <c r="O144" s="6">
        <f t="shared" si="49"/>
        <v>35000000</v>
      </c>
      <c r="P144" s="6">
        <f t="shared" si="49"/>
        <v>50000000</v>
      </c>
      <c r="Q144" s="6">
        <f t="shared" si="49"/>
        <v>0</v>
      </c>
      <c r="R144" s="6">
        <f t="shared" si="49"/>
        <v>0</v>
      </c>
      <c r="S144" s="6">
        <f t="shared" si="49"/>
        <v>0</v>
      </c>
    </row>
    <row r="145" spans="1:19" outlineLevel="1"/>
    <row r="146" spans="1:19" outlineLevel="1"/>
    <row r="147" spans="1:19" outlineLevel="1">
      <c r="B147" s="20" t="s">
        <v>136</v>
      </c>
    </row>
    <row r="148" spans="1:19" outlineLevel="2">
      <c r="A148" s="18"/>
      <c r="B148" s="18"/>
      <c r="C148" s="28"/>
      <c r="D148" s="29"/>
      <c r="E148" s="21" t="str">
        <f xml:space="preserve">  InpC!E$28</f>
        <v>Redemption Premium</v>
      </c>
      <c r="F148" s="21">
        <f xml:space="preserve">  InpC!F$28</f>
        <v>1</v>
      </c>
      <c r="G148" s="21" t="str">
        <f xml:space="preserve">  InpC!G$28</f>
        <v>%</v>
      </c>
      <c r="M148" s="15"/>
    </row>
    <row r="149" spans="1:19" outlineLevel="2">
      <c r="E149" s="2" t="str">
        <f t="shared" ref="E149:S149" si="50" xml:space="preserve">  E$14</f>
        <v>Loan Note</v>
      </c>
      <c r="F149" s="2">
        <f t="shared" si="50"/>
        <v>0</v>
      </c>
      <c r="G149" s="2" t="str">
        <f t="shared" si="50"/>
        <v>GBP</v>
      </c>
      <c r="H149" s="2">
        <f t="shared" si="50"/>
        <v>0</v>
      </c>
      <c r="I149" s="2">
        <f t="shared" si="50"/>
        <v>0</v>
      </c>
      <c r="J149" s="2">
        <f t="shared" si="50"/>
        <v>150000</v>
      </c>
      <c r="K149" s="2">
        <f t="shared" si="50"/>
        <v>500000</v>
      </c>
      <c r="L149" s="2">
        <f t="shared" si="50"/>
        <v>1250000</v>
      </c>
      <c r="M149" s="2">
        <f t="shared" si="50"/>
        <v>2750000</v>
      </c>
      <c r="N149" s="2">
        <f t="shared" si="50"/>
        <v>2750000</v>
      </c>
      <c r="O149" s="2">
        <f t="shared" si="50"/>
        <v>2750000</v>
      </c>
      <c r="P149" s="2">
        <f t="shared" si="50"/>
        <v>2750000</v>
      </c>
      <c r="Q149" s="2">
        <f t="shared" si="50"/>
        <v>2750000</v>
      </c>
      <c r="R149" s="2">
        <f t="shared" si="50"/>
        <v>2750000</v>
      </c>
      <c r="S149" s="2">
        <f t="shared" si="50"/>
        <v>2750000</v>
      </c>
    </row>
    <row r="150" spans="1:19" outlineLevel="2">
      <c r="E150" s="48" t="s">
        <v>136</v>
      </c>
      <c r="G150" s="48" t="s">
        <v>132</v>
      </c>
      <c r="H150" s="2">
        <f xml:space="preserve"> SUM( J150:S150 )</f>
        <v>42300000</v>
      </c>
      <c r="J150" s="2">
        <f t="shared" ref="J150:S150" si="51" xml:space="preserve">  J149 * ( 1 + $F148 )</f>
        <v>300000</v>
      </c>
      <c r="K150" s="2">
        <f t="shared" si="51"/>
        <v>1000000</v>
      </c>
      <c r="L150" s="2">
        <f t="shared" si="51"/>
        <v>2500000</v>
      </c>
      <c r="M150" s="2">
        <f t="shared" si="51"/>
        <v>5500000</v>
      </c>
      <c r="N150" s="2">
        <f t="shared" si="51"/>
        <v>5500000</v>
      </c>
      <c r="O150" s="2">
        <f t="shared" si="51"/>
        <v>5500000</v>
      </c>
      <c r="P150" s="2">
        <f t="shared" si="51"/>
        <v>5500000</v>
      </c>
      <c r="Q150" s="2">
        <f t="shared" si="51"/>
        <v>5500000</v>
      </c>
      <c r="R150" s="2">
        <f t="shared" si="51"/>
        <v>5500000</v>
      </c>
      <c r="S150" s="2">
        <f t="shared" si="51"/>
        <v>5500000</v>
      </c>
    </row>
    <row r="151" spans="1:19" outlineLevel="1"/>
    <row r="152" spans="1:19" outlineLevel="1"/>
    <row r="153" spans="1:19" outlineLevel="1">
      <c r="B153" s="20" t="s">
        <v>66</v>
      </c>
    </row>
    <row r="154" spans="1:19" outlineLevel="2">
      <c r="E154" s="2" t="str">
        <f t="shared" ref="E154:S154" si="52" xml:space="preserve">  E$144</f>
        <v>Exit Proceeds</v>
      </c>
      <c r="F154" s="2">
        <f t="shared" si="52"/>
        <v>0</v>
      </c>
      <c r="G154" s="2" t="str">
        <f t="shared" si="52"/>
        <v>GBP</v>
      </c>
      <c r="H154" s="2">
        <f t="shared" si="52"/>
        <v>122500000</v>
      </c>
      <c r="I154" s="2">
        <f t="shared" si="52"/>
        <v>0</v>
      </c>
      <c r="J154" s="2">
        <f t="shared" si="52"/>
        <v>500000</v>
      </c>
      <c r="K154" s="2">
        <f t="shared" si="52"/>
        <v>2000000</v>
      </c>
      <c r="L154" s="2">
        <f t="shared" si="52"/>
        <v>5000000</v>
      </c>
      <c r="M154" s="2">
        <f t="shared" si="52"/>
        <v>10000000</v>
      </c>
      <c r="N154" s="2">
        <f t="shared" si="52"/>
        <v>20000000</v>
      </c>
      <c r="O154" s="2">
        <f t="shared" si="52"/>
        <v>35000000</v>
      </c>
      <c r="P154" s="2">
        <f t="shared" si="52"/>
        <v>50000000</v>
      </c>
      <c r="Q154" s="2">
        <f t="shared" si="52"/>
        <v>0</v>
      </c>
      <c r="R154" s="2">
        <f t="shared" si="52"/>
        <v>0</v>
      </c>
      <c r="S154" s="2">
        <f t="shared" si="52"/>
        <v>0</v>
      </c>
    </row>
    <row r="155" spans="1:19" outlineLevel="2">
      <c r="E155" s="2" t="str">
        <f t="shared" ref="E155:S155" si="53" xml:space="preserve">  E$150</f>
        <v>Loan Repayment</v>
      </c>
      <c r="F155" s="2">
        <f t="shared" si="53"/>
        <v>0</v>
      </c>
      <c r="G155" s="2" t="str">
        <f t="shared" si="53"/>
        <v>GBP</v>
      </c>
      <c r="H155" s="2">
        <f t="shared" si="53"/>
        <v>42300000</v>
      </c>
      <c r="I155" s="2">
        <f t="shared" si="53"/>
        <v>0</v>
      </c>
      <c r="J155" s="2">
        <f t="shared" si="53"/>
        <v>300000</v>
      </c>
      <c r="K155" s="2">
        <f t="shared" si="53"/>
        <v>1000000</v>
      </c>
      <c r="L155" s="2">
        <f t="shared" si="53"/>
        <v>2500000</v>
      </c>
      <c r="M155" s="2">
        <f t="shared" si="53"/>
        <v>5500000</v>
      </c>
      <c r="N155" s="2">
        <f t="shared" si="53"/>
        <v>5500000</v>
      </c>
      <c r="O155" s="2">
        <f t="shared" si="53"/>
        <v>5500000</v>
      </c>
      <c r="P155" s="2">
        <f t="shared" si="53"/>
        <v>5500000</v>
      </c>
      <c r="Q155" s="2">
        <f t="shared" si="53"/>
        <v>5500000</v>
      </c>
      <c r="R155" s="2">
        <f t="shared" si="53"/>
        <v>5500000</v>
      </c>
      <c r="S155" s="2">
        <f t="shared" si="53"/>
        <v>5500000</v>
      </c>
    </row>
    <row r="156" spans="1:19" outlineLevel="2">
      <c r="A156" s="24"/>
      <c r="B156" s="24"/>
      <c r="C156" s="45"/>
      <c r="D156" s="43"/>
      <c r="E156" s="14" t="s">
        <v>66</v>
      </c>
      <c r="F156" s="14"/>
      <c r="G156" s="14" t="s">
        <v>132</v>
      </c>
      <c r="H156" s="6">
        <f xml:space="preserve"> SUM( J156:S156 )</f>
        <v>25800000</v>
      </c>
      <c r="I156" s="14"/>
      <c r="J156" s="6">
        <f t="shared" ref="J156:S156" si="54" xml:space="preserve">  IF( J154 &gt; J155, J155, J154 )</f>
        <v>300000</v>
      </c>
      <c r="K156" s="6">
        <f t="shared" si="54"/>
        <v>1000000</v>
      </c>
      <c r="L156" s="6">
        <f t="shared" si="54"/>
        <v>2500000</v>
      </c>
      <c r="M156" s="6">
        <f t="shared" si="54"/>
        <v>5500000</v>
      </c>
      <c r="N156" s="6">
        <f t="shared" si="54"/>
        <v>5500000</v>
      </c>
      <c r="O156" s="6">
        <f t="shared" si="54"/>
        <v>5500000</v>
      </c>
      <c r="P156" s="6">
        <f t="shared" si="54"/>
        <v>5500000</v>
      </c>
      <c r="Q156" s="6">
        <f t="shared" si="54"/>
        <v>0</v>
      </c>
      <c r="R156" s="6">
        <f t="shared" si="54"/>
        <v>0</v>
      </c>
      <c r="S156" s="6">
        <f t="shared" si="54"/>
        <v>0</v>
      </c>
    </row>
    <row r="157" spans="1:19" outlineLevel="1"/>
    <row r="158" spans="1:19" outlineLevel="1"/>
    <row r="159" spans="1:19" outlineLevel="1">
      <c r="B159" s="20" t="s">
        <v>81</v>
      </c>
    </row>
    <row r="160" spans="1:19" outlineLevel="2">
      <c r="E160" s="2" t="str">
        <f t="shared" ref="E160:S160" si="55" xml:space="preserve">  E$144</f>
        <v>Exit Proceeds</v>
      </c>
      <c r="F160" s="2">
        <f t="shared" si="55"/>
        <v>0</v>
      </c>
      <c r="G160" s="2" t="str">
        <f t="shared" si="55"/>
        <v>GBP</v>
      </c>
      <c r="H160" s="2">
        <f t="shared" si="55"/>
        <v>122500000</v>
      </c>
      <c r="I160" s="2">
        <f t="shared" si="55"/>
        <v>0</v>
      </c>
      <c r="J160" s="2">
        <f t="shared" si="55"/>
        <v>500000</v>
      </c>
      <c r="K160" s="2">
        <f t="shared" si="55"/>
        <v>2000000</v>
      </c>
      <c r="L160" s="2">
        <f t="shared" si="55"/>
        <v>5000000</v>
      </c>
      <c r="M160" s="2">
        <f t="shared" si="55"/>
        <v>10000000</v>
      </c>
      <c r="N160" s="2">
        <f t="shared" si="55"/>
        <v>20000000</v>
      </c>
      <c r="O160" s="2">
        <f t="shared" si="55"/>
        <v>35000000</v>
      </c>
      <c r="P160" s="2">
        <f t="shared" si="55"/>
        <v>50000000</v>
      </c>
      <c r="Q160" s="2">
        <f t="shared" si="55"/>
        <v>0</v>
      </c>
      <c r="R160" s="2">
        <f t="shared" si="55"/>
        <v>0</v>
      </c>
      <c r="S160" s="2">
        <f t="shared" si="55"/>
        <v>0</v>
      </c>
    </row>
    <row r="161" spans="1:19" outlineLevel="2">
      <c r="E161" s="2" t="str">
        <f t="shared" ref="E161:S161" si="56" xml:space="preserve">  E$156</f>
        <v>Loan and Redemption Premium Repayment</v>
      </c>
      <c r="F161" s="2">
        <f t="shared" si="56"/>
        <v>0</v>
      </c>
      <c r="G161" s="2" t="str">
        <f t="shared" si="56"/>
        <v>GBP</v>
      </c>
      <c r="H161" s="2">
        <f t="shared" si="56"/>
        <v>25800000</v>
      </c>
      <c r="I161" s="2">
        <f t="shared" si="56"/>
        <v>0</v>
      </c>
      <c r="J161" s="2">
        <f t="shared" si="56"/>
        <v>300000</v>
      </c>
      <c r="K161" s="2">
        <f t="shared" si="56"/>
        <v>1000000</v>
      </c>
      <c r="L161" s="2">
        <f t="shared" si="56"/>
        <v>2500000</v>
      </c>
      <c r="M161" s="2">
        <f t="shared" si="56"/>
        <v>5500000</v>
      </c>
      <c r="N161" s="2">
        <f t="shared" si="56"/>
        <v>5500000</v>
      </c>
      <c r="O161" s="2">
        <f t="shared" si="56"/>
        <v>5500000</v>
      </c>
      <c r="P161" s="2">
        <f t="shared" si="56"/>
        <v>5500000</v>
      </c>
      <c r="Q161" s="2">
        <f t="shared" si="56"/>
        <v>0</v>
      </c>
      <c r="R161" s="2">
        <f t="shared" si="56"/>
        <v>0</v>
      </c>
      <c r="S161" s="2">
        <f t="shared" si="56"/>
        <v>0</v>
      </c>
    </row>
    <row r="162" spans="1:19" outlineLevel="2">
      <c r="E162" s="48" t="s">
        <v>81</v>
      </c>
      <c r="G162" s="48" t="s">
        <v>132</v>
      </c>
      <c r="H162" s="2">
        <f xml:space="preserve"> SUM( J162:S162 )</f>
        <v>96700000</v>
      </c>
      <c r="J162" s="2">
        <f t="shared" ref="J162:S162" si="57" xml:space="preserve">  J160 - J161</f>
        <v>200000</v>
      </c>
      <c r="K162" s="2">
        <f t="shared" si="57"/>
        <v>1000000</v>
      </c>
      <c r="L162" s="2">
        <f t="shared" si="57"/>
        <v>2500000</v>
      </c>
      <c r="M162" s="2">
        <f t="shared" si="57"/>
        <v>4500000</v>
      </c>
      <c r="N162" s="2">
        <f t="shared" si="57"/>
        <v>14500000</v>
      </c>
      <c r="O162" s="2">
        <f t="shared" si="57"/>
        <v>29500000</v>
      </c>
      <c r="P162" s="2">
        <f t="shared" si="57"/>
        <v>44500000</v>
      </c>
      <c r="Q162" s="2">
        <f t="shared" si="57"/>
        <v>0</v>
      </c>
      <c r="R162" s="2">
        <f t="shared" si="57"/>
        <v>0</v>
      </c>
      <c r="S162" s="2">
        <f t="shared" si="57"/>
        <v>0</v>
      </c>
    </row>
    <row r="163" spans="1:19" outlineLevel="1"/>
    <row r="164" spans="1:19" outlineLevel="1"/>
    <row r="165" spans="1:19" outlineLevel="1">
      <c r="B165" s="20" t="s">
        <v>171</v>
      </c>
    </row>
    <row r="166" spans="1:19" outlineLevel="2">
      <c r="E166" s="2" t="str">
        <f t="shared" ref="E166:S166" si="58" xml:space="preserve">  E$162</f>
        <v>Proceeds After Loan Repayment</v>
      </c>
      <c r="F166" s="2">
        <f t="shared" si="58"/>
        <v>0</v>
      </c>
      <c r="G166" s="2" t="str">
        <f t="shared" si="58"/>
        <v>GBP</v>
      </c>
      <c r="H166" s="2">
        <f t="shared" si="58"/>
        <v>96700000</v>
      </c>
      <c r="I166" s="2">
        <f t="shared" si="58"/>
        <v>0</v>
      </c>
      <c r="J166" s="2">
        <f t="shared" si="58"/>
        <v>200000</v>
      </c>
      <c r="K166" s="2">
        <f t="shared" si="58"/>
        <v>1000000</v>
      </c>
      <c r="L166" s="2">
        <f t="shared" si="58"/>
        <v>2500000</v>
      </c>
      <c r="M166" s="2">
        <f t="shared" si="58"/>
        <v>4500000</v>
      </c>
      <c r="N166" s="2">
        <f t="shared" si="58"/>
        <v>14500000</v>
      </c>
      <c r="O166" s="2">
        <f t="shared" si="58"/>
        <v>29500000</v>
      </c>
      <c r="P166" s="2">
        <f t="shared" si="58"/>
        <v>44500000</v>
      </c>
      <c r="Q166" s="2">
        <f t="shared" si="58"/>
        <v>0</v>
      </c>
      <c r="R166" s="2">
        <f t="shared" si="58"/>
        <v>0</v>
      </c>
      <c r="S166" s="2">
        <f t="shared" si="58"/>
        <v>0</v>
      </c>
    </row>
    <row r="167" spans="1:19" outlineLevel="2">
      <c r="E167" s="15" t="str">
        <f t="shared" ref="E167:S167" si="59" xml:space="preserve">  E$86</f>
        <v>Sector Cofounder %</v>
      </c>
      <c r="F167" s="15">
        <f t="shared" si="59"/>
        <v>0</v>
      </c>
      <c r="G167" s="15" t="str">
        <f t="shared" si="59"/>
        <v>%</v>
      </c>
      <c r="H167" s="15">
        <f t="shared" si="59"/>
        <v>0</v>
      </c>
      <c r="I167" s="15">
        <f t="shared" si="59"/>
        <v>0</v>
      </c>
      <c r="J167" s="15">
        <f t="shared" si="59"/>
        <v>0.4</v>
      </c>
      <c r="K167" s="15">
        <f t="shared" si="59"/>
        <v>0.36363636363636365</v>
      </c>
      <c r="L167" s="15">
        <f t="shared" si="59"/>
        <v>0.30909090909090914</v>
      </c>
      <c r="M167" s="15">
        <f t="shared" si="59"/>
        <v>0.2627272727272727</v>
      </c>
      <c r="N167" s="15">
        <f t="shared" si="59"/>
        <v>0.2627272727272727</v>
      </c>
      <c r="O167" s="15">
        <f t="shared" si="59"/>
        <v>0.2627272727272727</v>
      </c>
      <c r="P167" s="15">
        <f t="shared" si="59"/>
        <v>0.2627272727272727</v>
      </c>
      <c r="Q167" s="15">
        <f t="shared" si="59"/>
        <v>0.2627272727272727</v>
      </c>
      <c r="R167" s="15">
        <f t="shared" si="59"/>
        <v>0.2627272727272727</v>
      </c>
      <c r="S167" s="15">
        <f t="shared" si="59"/>
        <v>0.2627272727272727</v>
      </c>
    </row>
    <row r="168" spans="1:19" outlineLevel="2">
      <c r="A168" s="24"/>
      <c r="B168" s="24"/>
      <c r="C168" s="45"/>
      <c r="D168" s="43"/>
      <c r="E168" s="14" t="s">
        <v>171</v>
      </c>
      <c r="F168" s="14"/>
      <c r="G168" s="14" t="s">
        <v>132</v>
      </c>
      <c r="H168" s="6">
        <f xml:space="preserve"> SUM( J168:S168 )</f>
        <v>25650000</v>
      </c>
      <c r="I168" s="14"/>
      <c r="J168" s="6">
        <f t="shared" ref="J168:S168" si="60" xml:space="preserve">  J166 * J167</f>
        <v>80000</v>
      </c>
      <c r="K168" s="6">
        <f t="shared" si="60"/>
        <v>363636.36363636365</v>
      </c>
      <c r="L168" s="6">
        <f t="shared" si="60"/>
        <v>772727.27272727282</v>
      </c>
      <c r="M168" s="6">
        <f t="shared" si="60"/>
        <v>1182272.7272727271</v>
      </c>
      <c r="N168" s="6">
        <f t="shared" si="60"/>
        <v>3809545.4545454541</v>
      </c>
      <c r="O168" s="6">
        <f t="shared" si="60"/>
        <v>7750454.5454545449</v>
      </c>
      <c r="P168" s="6">
        <f t="shared" si="60"/>
        <v>11691363.636363635</v>
      </c>
      <c r="Q168" s="6">
        <f t="shared" si="60"/>
        <v>0</v>
      </c>
      <c r="R168" s="6">
        <f t="shared" si="60"/>
        <v>0</v>
      </c>
      <c r="S168" s="6">
        <f t="shared" si="60"/>
        <v>0</v>
      </c>
    </row>
    <row r="169" spans="1:19" outlineLevel="1"/>
    <row r="170" spans="1:19" outlineLevel="1"/>
    <row r="171" spans="1:19" outlineLevel="1">
      <c r="B171" s="20" t="s">
        <v>104</v>
      </c>
    </row>
    <row r="172" spans="1:19" outlineLevel="2">
      <c r="E172" s="2" t="str">
        <f t="shared" ref="E172:S172" si="61" xml:space="preserve">  E$162</f>
        <v>Proceeds After Loan Repayment</v>
      </c>
      <c r="F172" s="2">
        <f t="shared" si="61"/>
        <v>0</v>
      </c>
      <c r="G172" s="2" t="str">
        <f t="shared" si="61"/>
        <v>GBP</v>
      </c>
      <c r="H172" s="2">
        <f t="shared" si="61"/>
        <v>96700000</v>
      </c>
      <c r="I172" s="2">
        <f t="shared" si="61"/>
        <v>0</v>
      </c>
      <c r="J172" s="2">
        <f t="shared" si="61"/>
        <v>200000</v>
      </c>
      <c r="K172" s="2">
        <f t="shared" si="61"/>
        <v>1000000</v>
      </c>
      <c r="L172" s="2">
        <f t="shared" si="61"/>
        <v>2500000</v>
      </c>
      <c r="M172" s="2">
        <f t="shared" si="61"/>
        <v>4500000</v>
      </c>
      <c r="N172" s="2">
        <f t="shared" si="61"/>
        <v>14500000</v>
      </c>
      <c r="O172" s="2">
        <f t="shared" si="61"/>
        <v>29500000</v>
      </c>
      <c r="P172" s="2">
        <f t="shared" si="61"/>
        <v>44500000</v>
      </c>
      <c r="Q172" s="2">
        <f t="shared" si="61"/>
        <v>0</v>
      </c>
      <c r="R172" s="2">
        <f t="shared" si="61"/>
        <v>0</v>
      </c>
      <c r="S172" s="2">
        <f t="shared" si="61"/>
        <v>0</v>
      </c>
    </row>
    <row r="173" spans="1:19" outlineLevel="2">
      <c r="E173" s="15" t="str">
        <f t="shared" ref="E173:S173" si="62" xml:space="preserve">  E$92</f>
        <v>Studio Cofounder %</v>
      </c>
      <c r="F173" s="15">
        <f t="shared" si="62"/>
        <v>0</v>
      </c>
      <c r="G173" s="15" t="str">
        <f t="shared" si="62"/>
        <v>%</v>
      </c>
      <c r="H173" s="15">
        <f t="shared" si="62"/>
        <v>0</v>
      </c>
      <c r="I173" s="15">
        <f t="shared" si="62"/>
        <v>0</v>
      </c>
      <c r="J173" s="15">
        <f t="shared" si="62"/>
        <v>0.1</v>
      </c>
      <c r="K173" s="15">
        <f t="shared" si="62"/>
        <v>9.0909090909090912E-2</v>
      </c>
      <c r="L173" s="15">
        <f t="shared" si="62"/>
        <v>7.7272727272727285E-2</v>
      </c>
      <c r="M173" s="15">
        <f t="shared" si="62"/>
        <v>6.5681818181818175E-2</v>
      </c>
      <c r="N173" s="15">
        <f t="shared" si="62"/>
        <v>6.5681818181818175E-2</v>
      </c>
      <c r="O173" s="15">
        <f t="shared" si="62"/>
        <v>6.5681818181818175E-2</v>
      </c>
      <c r="P173" s="15">
        <f t="shared" si="62"/>
        <v>6.5681818181818175E-2</v>
      </c>
      <c r="Q173" s="15">
        <f t="shared" si="62"/>
        <v>6.5681818181818175E-2</v>
      </c>
      <c r="R173" s="15">
        <f t="shared" si="62"/>
        <v>6.5681818181818175E-2</v>
      </c>
      <c r="S173" s="15">
        <f t="shared" si="62"/>
        <v>6.5681818181818175E-2</v>
      </c>
    </row>
    <row r="174" spans="1:19" outlineLevel="2">
      <c r="A174" s="24"/>
      <c r="B174" s="24"/>
      <c r="C174" s="45"/>
      <c r="D174" s="43"/>
      <c r="E174" s="14" t="s">
        <v>104</v>
      </c>
      <c r="F174" s="14"/>
      <c r="G174" s="14" t="s">
        <v>132</v>
      </c>
      <c r="H174" s="6">
        <f xml:space="preserve"> SUM( J174:S174 )</f>
        <v>6412500</v>
      </c>
      <c r="I174" s="14"/>
      <c r="J174" s="6">
        <f t="shared" ref="J174:S174" si="63" xml:space="preserve">  J172 * J173</f>
        <v>20000</v>
      </c>
      <c r="K174" s="6">
        <f t="shared" si="63"/>
        <v>90909.090909090912</v>
      </c>
      <c r="L174" s="6">
        <f t="shared" si="63"/>
        <v>193181.81818181821</v>
      </c>
      <c r="M174" s="6">
        <f t="shared" si="63"/>
        <v>295568.18181818177</v>
      </c>
      <c r="N174" s="6">
        <f t="shared" si="63"/>
        <v>952386.36363636353</v>
      </c>
      <c r="O174" s="6">
        <f t="shared" si="63"/>
        <v>1937613.6363636362</v>
      </c>
      <c r="P174" s="6">
        <f t="shared" si="63"/>
        <v>2922840.9090909087</v>
      </c>
      <c r="Q174" s="6">
        <f t="shared" si="63"/>
        <v>0</v>
      </c>
      <c r="R174" s="6">
        <f t="shared" si="63"/>
        <v>0</v>
      </c>
      <c r="S174" s="6">
        <f t="shared" si="63"/>
        <v>0</v>
      </c>
    </row>
    <row r="175" spans="1:19" outlineLevel="1"/>
    <row r="176" spans="1:19" outlineLevel="1"/>
    <row r="177" spans="1:19" outlineLevel="1">
      <c r="B177" s="20" t="s">
        <v>155</v>
      </c>
    </row>
    <row r="178" spans="1:19" outlineLevel="2">
      <c r="E178" s="2" t="str">
        <f t="shared" ref="E178:S178" si="64" xml:space="preserve">  E$162</f>
        <v>Proceeds After Loan Repayment</v>
      </c>
      <c r="F178" s="2">
        <f t="shared" si="64"/>
        <v>0</v>
      </c>
      <c r="G178" s="2" t="str">
        <f t="shared" si="64"/>
        <v>GBP</v>
      </c>
      <c r="H178" s="2">
        <f t="shared" si="64"/>
        <v>96700000</v>
      </c>
      <c r="I178" s="2">
        <f t="shared" si="64"/>
        <v>0</v>
      </c>
      <c r="J178" s="2">
        <f t="shared" si="64"/>
        <v>200000</v>
      </c>
      <c r="K178" s="2">
        <f t="shared" si="64"/>
        <v>1000000</v>
      </c>
      <c r="L178" s="2">
        <f t="shared" si="64"/>
        <v>2500000</v>
      </c>
      <c r="M178" s="2">
        <f t="shared" si="64"/>
        <v>4500000</v>
      </c>
      <c r="N178" s="2">
        <f t="shared" si="64"/>
        <v>14500000</v>
      </c>
      <c r="O178" s="2">
        <f t="shared" si="64"/>
        <v>29500000</v>
      </c>
      <c r="P178" s="2">
        <f t="shared" si="64"/>
        <v>44500000</v>
      </c>
      <c r="Q178" s="2">
        <f t="shared" si="64"/>
        <v>0</v>
      </c>
      <c r="R178" s="2">
        <f t="shared" si="64"/>
        <v>0</v>
      </c>
      <c r="S178" s="2">
        <f t="shared" si="64"/>
        <v>0</v>
      </c>
    </row>
    <row r="179" spans="1:19" outlineLevel="2">
      <c r="E179" s="15" t="str">
        <f t="shared" ref="E179:S179" si="65" xml:space="preserve">  E$98</f>
        <v>Investor Cofounder %</v>
      </c>
      <c r="F179" s="15">
        <f t="shared" si="65"/>
        <v>0</v>
      </c>
      <c r="G179" s="15" t="str">
        <f t="shared" si="65"/>
        <v>%</v>
      </c>
      <c r="H179" s="15">
        <f t="shared" si="65"/>
        <v>0</v>
      </c>
      <c r="I179" s="15">
        <f t="shared" si="65"/>
        <v>0</v>
      </c>
      <c r="J179" s="15">
        <f t="shared" si="65"/>
        <v>0.5</v>
      </c>
      <c r="K179" s="15">
        <f t="shared" si="65"/>
        <v>0.45454545454545453</v>
      </c>
      <c r="L179" s="15">
        <f t="shared" si="65"/>
        <v>0.38636363636363641</v>
      </c>
      <c r="M179" s="15">
        <f t="shared" si="65"/>
        <v>0.32840909090909093</v>
      </c>
      <c r="N179" s="15">
        <f t="shared" si="65"/>
        <v>0.32840909090909093</v>
      </c>
      <c r="O179" s="15">
        <f t="shared" si="65"/>
        <v>0.32840909090909093</v>
      </c>
      <c r="P179" s="15">
        <f t="shared" si="65"/>
        <v>0.32840909090909093</v>
      </c>
      <c r="Q179" s="15">
        <f t="shared" si="65"/>
        <v>0.32840909090909093</v>
      </c>
      <c r="R179" s="15">
        <f t="shared" si="65"/>
        <v>0.32840909090909093</v>
      </c>
      <c r="S179" s="15">
        <f t="shared" si="65"/>
        <v>0.32840909090909093</v>
      </c>
    </row>
    <row r="180" spans="1:19" outlineLevel="2">
      <c r="A180" s="24"/>
      <c r="B180" s="24"/>
      <c r="C180" s="45"/>
      <c r="D180" s="43"/>
      <c r="E180" s="14" t="s">
        <v>155</v>
      </c>
      <c r="F180" s="14"/>
      <c r="G180" s="14" t="s">
        <v>132</v>
      </c>
      <c r="H180" s="6">
        <f xml:space="preserve"> SUM( J180:S180 )</f>
        <v>32062500</v>
      </c>
      <c r="I180" s="14"/>
      <c r="J180" s="6">
        <f t="shared" ref="J180:S180" si="66" xml:space="preserve">  J178 * J179</f>
        <v>100000</v>
      </c>
      <c r="K180" s="6">
        <f t="shared" si="66"/>
        <v>454545.45454545453</v>
      </c>
      <c r="L180" s="6">
        <f t="shared" si="66"/>
        <v>965909.09090909106</v>
      </c>
      <c r="M180" s="6">
        <f t="shared" si="66"/>
        <v>1477840.9090909092</v>
      </c>
      <c r="N180" s="6">
        <f t="shared" si="66"/>
        <v>4761931.8181818184</v>
      </c>
      <c r="O180" s="6">
        <f t="shared" si="66"/>
        <v>9688068.1818181816</v>
      </c>
      <c r="P180" s="6">
        <f t="shared" si="66"/>
        <v>14614204.545454547</v>
      </c>
      <c r="Q180" s="6">
        <f t="shared" si="66"/>
        <v>0</v>
      </c>
      <c r="R180" s="6">
        <f t="shared" si="66"/>
        <v>0</v>
      </c>
      <c r="S180" s="6">
        <f t="shared" si="66"/>
        <v>0</v>
      </c>
    </row>
    <row r="181" spans="1:19" outlineLevel="1"/>
    <row r="182" spans="1:19" outlineLevel="1"/>
    <row r="183" spans="1:19" outlineLevel="1">
      <c r="B183" s="20" t="s">
        <v>9</v>
      </c>
    </row>
    <row r="184" spans="1:19" outlineLevel="2">
      <c r="E184" s="2" t="str">
        <f t="shared" ref="E184:S184" si="67" xml:space="preserve">  E$162</f>
        <v>Proceeds After Loan Repayment</v>
      </c>
      <c r="F184" s="2">
        <f t="shared" si="67"/>
        <v>0</v>
      </c>
      <c r="G184" s="2" t="str">
        <f t="shared" si="67"/>
        <v>GBP</v>
      </c>
      <c r="H184" s="2">
        <f t="shared" si="67"/>
        <v>96700000</v>
      </c>
      <c r="I184" s="2">
        <f t="shared" si="67"/>
        <v>0</v>
      </c>
      <c r="J184" s="2">
        <f t="shared" si="67"/>
        <v>200000</v>
      </c>
      <c r="K184" s="2">
        <f t="shared" si="67"/>
        <v>1000000</v>
      </c>
      <c r="L184" s="2">
        <f t="shared" si="67"/>
        <v>2500000</v>
      </c>
      <c r="M184" s="2">
        <f t="shared" si="67"/>
        <v>4500000</v>
      </c>
      <c r="N184" s="2">
        <f t="shared" si="67"/>
        <v>14500000</v>
      </c>
      <c r="O184" s="2">
        <f t="shared" si="67"/>
        <v>29500000</v>
      </c>
      <c r="P184" s="2">
        <f t="shared" si="67"/>
        <v>44500000</v>
      </c>
      <c r="Q184" s="2">
        <f t="shared" si="67"/>
        <v>0</v>
      </c>
      <c r="R184" s="2">
        <f t="shared" si="67"/>
        <v>0</v>
      </c>
      <c r="S184" s="2">
        <f t="shared" si="67"/>
        <v>0</v>
      </c>
    </row>
    <row r="185" spans="1:19" outlineLevel="2">
      <c r="E185" s="15" t="str">
        <f t="shared" ref="E185:S185" si="68" xml:space="preserve">  E$104</f>
        <v>Other Investor %</v>
      </c>
      <c r="F185" s="15">
        <f t="shared" si="68"/>
        <v>0</v>
      </c>
      <c r="G185" s="15" t="str">
        <f t="shared" si="68"/>
        <v>%</v>
      </c>
      <c r="H185" s="15">
        <f t="shared" si="68"/>
        <v>0</v>
      </c>
      <c r="I185" s="15">
        <f t="shared" si="68"/>
        <v>0</v>
      </c>
      <c r="J185" s="15">
        <f t="shared" si="68"/>
        <v>0</v>
      </c>
      <c r="K185" s="15">
        <f t="shared" si="68"/>
        <v>9.0909090909090912E-2</v>
      </c>
      <c r="L185" s="15">
        <f t="shared" si="68"/>
        <v>0.22727272727272729</v>
      </c>
      <c r="M185" s="15">
        <f t="shared" si="68"/>
        <v>0.3431818181818182</v>
      </c>
      <c r="N185" s="15">
        <f t="shared" si="68"/>
        <v>0.3431818181818182</v>
      </c>
      <c r="O185" s="15">
        <f t="shared" si="68"/>
        <v>0.3431818181818182</v>
      </c>
      <c r="P185" s="15">
        <f t="shared" si="68"/>
        <v>0.3431818181818182</v>
      </c>
      <c r="Q185" s="15">
        <f t="shared" si="68"/>
        <v>0.3431818181818182</v>
      </c>
      <c r="R185" s="15">
        <f t="shared" si="68"/>
        <v>0.3431818181818182</v>
      </c>
      <c r="S185" s="15">
        <f t="shared" si="68"/>
        <v>0.3431818181818182</v>
      </c>
    </row>
    <row r="186" spans="1:19" outlineLevel="2">
      <c r="A186" s="24"/>
      <c r="B186" s="24"/>
      <c r="C186" s="45"/>
      <c r="D186" s="43"/>
      <c r="E186" s="14" t="s">
        <v>9</v>
      </c>
      <c r="F186" s="14"/>
      <c r="G186" s="14" t="s">
        <v>132</v>
      </c>
      <c r="H186" s="6">
        <f xml:space="preserve"> SUM( J186:S186 )</f>
        <v>32575000.000000004</v>
      </c>
      <c r="I186" s="14"/>
      <c r="J186" s="6">
        <f t="shared" ref="J186:S186" si="69" xml:space="preserve">  J184 * J185</f>
        <v>0</v>
      </c>
      <c r="K186" s="6">
        <f t="shared" si="69"/>
        <v>90909.090909090912</v>
      </c>
      <c r="L186" s="6">
        <f t="shared" si="69"/>
        <v>568181.81818181823</v>
      </c>
      <c r="M186" s="6">
        <f t="shared" si="69"/>
        <v>1544318.1818181819</v>
      </c>
      <c r="N186" s="6">
        <f t="shared" si="69"/>
        <v>4976136.3636363642</v>
      </c>
      <c r="O186" s="6">
        <f t="shared" si="69"/>
        <v>10123863.636363637</v>
      </c>
      <c r="P186" s="6">
        <f t="shared" si="69"/>
        <v>15271590.90909091</v>
      </c>
      <c r="Q186" s="6">
        <f t="shared" si="69"/>
        <v>0</v>
      </c>
      <c r="R186" s="6">
        <f t="shared" si="69"/>
        <v>0</v>
      </c>
      <c r="S186" s="6">
        <f t="shared" si="69"/>
        <v>0</v>
      </c>
    </row>
    <row r="187" spans="1:19" outlineLevel="1"/>
    <row r="190" spans="1:19">
      <c r="B190" s="20" t="s">
        <v>139</v>
      </c>
    </row>
  </sheetData>
  <conditionalFormatting sqref="F2:F3">
    <cfRule type="cellIs" dxfId="70" priority="1" stopIfTrue="1" operator="notEqual">
      <formula>0</formula>
    </cfRule>
    <cfRule type="cellIs" dxfId="69" priority="2" stopIfTrue="1" operator="equal">
      <formula>""</formula>
    </cfRule>
  </conditionalFormatting>
  <conditionalFormatting sqref="J3:S3">
    <cfRule type="cellIs" dxfId="68" priority="8" operator="equal">
      <formula>"PPA ext."</formula>
    </cfRule>
    <cfRule type="cellIs" dxfId="67" priority="9" operator="equal">
      <formula>"Delay"</formula>
    </cfRule>
    <cfRule type="cellIs" dxfId="66" priority="10" operator="equal">
      <formula>"Fin Close"</formula>
    </cfRule>
    <cfRule type="cellIs" dxfId="65" priority="11" stopIfTrue="1" operator="equal">
      <formula>"Construction"</formula>
    </cfRule>
    <cfRule type="cellIs" dxfId="64" priority="12" stopIfTrue="1" operator="equal">
      <formula>"Operations"</formula>
    </cfRule>
  </conditionalFormatting>
  <printOptions headings="1"/>
  <pageMargins left="0.74803149606299213" right="0.74803149606299213" top="0.98425196850393704" bottom="0.98425196850393704" header="0.51181102362204722" footer="0.51181102362204722"/>
  <pageSetup paperSize="9" scale="49" orientation="landscape" blackAndWhite="1"/>
  <headerFooter>
    <oddHeader>&amp;LPROJECT [XXX]&amp;CSheet:&amp;A&amp;RSTRICTLY CONFIDENTIAL</oddHeader>
    <oddFooter>&amp;L&amp;F ( Printed on &amp;D at &amp;T )&amp;RPage &amp;P of &amp;N</oddFooter>
  </headerFooter>
  <customProperties>
    <customPr name="MMGroup" r:id="rId1"/>
    <customPr name="MMSheetType" r:id="rId2"/>
    <customPr name="MMTimeAxis" r:id="rId3"/>
  </customPropertie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S9"/>
  <sheetViews>
    <sheetView defaultGridColor="0" colorId="22" zoomScale="80" workbookViewId="0">
      <pane xSplit="9" ySplit="5" topLeftCell="J6" activePane="bottomRight" state="frozen"/>
      <selection activeCell="J6" sqref="J6"/>
      <selection pane="topRight" activeCell="J6" sqref="J6"/>
      <selection pane="bottomLeft" activeCell="J6" sqref="J6"/>
      <selection pane="bottomRight" activeCell="J6" sqref="J6"/>
    </sheetView>
  </sheetViews>
  <sheetFormatPr defaultColWidth="0" defaultRowHeight="13"/>
  <cols>
    <col min="1" max="2" width="1.44140625" style="20" customWidth="1"/>
    <col min="3" max="3" width="1.44140625" style="47" customWidth="1"/>
    <col min="4" max="4" width="1.44140625" style="86" customWidth="1"/>
    <col min="5" max="5" width="23.33203125" style="48" bestFit="1" customWidth="1"/>
    <col min="6" max="6" width="20.88671875" style="48" bestFit="1" customWidth="1"/>
    <col min="7" max="7" width="13.21875" style="48" bestFit="1" customWidth="1"/>
    <col min="8" max="8" width="7.6640625" style="48" bestFit="1" customWidth="1"/>
    <col min="9" max="9" width="3.44140625" style="48" customWidth="1"/>
    <col min="10" max="19" width="12.33203125" style="48" bestFit="1" customWidth="1"/>
    <col min="20" max="20" width="15.109375" style="48" hidden="1" customWidth="1"/>
    <col min="21" max="16384" width="15.109375" style="48" hidden="1"/>
  </cols>
  <sheetData>
    <row r="1" spans="1:19" s="56" customFormat="1" ht="25">
      <c r="A1" s="46" t="str">
        <f ca="1" xml:space="preserve"> RIGHT(CELL("filename", A1), LEN(CELL("filename", A1)) - SEARCH("]", CELL("filename", A1)))</f>
        <v>Model Checks and Alerts</v>
      </c>
      <c r="B1" s="77"/>
      <c r="C1" s="78"/>
      <c r="D1" s="90"/>
      <c r="F1" s="49" t="str">
        <f>HYPERLINK("#Contents!A1","Go to contents")</f>
        <v>Go to contents</v>
      </c>
      <c r="H1" s="42"/>
      <c r="J1" s="42"/>
    </row>
    <row r="2" spans="1:19" s="50" customFormat="1">
      <c r="A2" s="40"/>
      <c r="B2" s="40"/>
      <c r="C2" s="79"/>
      <c r="D2" s="82"/>
      <c r="E2" s="17" t="s">
        <v>178</v>
      </c>
      <c r="F2" s="51">
        <v>0</v>
      </c>
      <c r="G2" s="52" t="s">
        <v>72</v>
      </c>
      <c r="H2" s="17"/>
      <c r="I2" s="17"/>
      <c r="J2" s="4">
        <f xml:space="preserve"> Time!J$12</f>
        <v>45535</v>
      </c>
      <c r="K2" s="4">
        <f xml:space="preserve"> Time!K$12</f>
        <v>45900</v>
      </c>
      <c r="L2" s="4">
        <f xml:space="preserve"> Time!L$12</f>
        <v>46265</v>
      </c>
      <c r="M2" s="4">
        <f xml:space="preserve"> Time!M$12</f>
        <v>46630</v>
      </c>
      <c r="N2" s="4">
        <f xml:space="preserve"> Time!N$12</f>
        <v>46996</v>
      </c>
      <c r="O2" s="4">
        <f xml:space="preserve"> Time!O$12</f>
        <v>47361</v>
      </c>
      <c r="P2" s="4">
        <f xml:space="preserve"> Time!P$12</f>
        <v>47726</v>
      </c>
      <c r="Q2" s="4">
        <f xml:space="preserve"> Time!Q$12</f>
        <v>48091</v>
      </c>
      <c r="R2" s="4">
        <f xml:space="preserve"> Time!R$12</f>
        <v>48457</v>
      </c>
      <c r="S2" s="4">
        <f xml:space="preserve"> Time!S$12</f>
        <v>48822</v>
      </c>
    </row>
    <row r="3" spans="1:19" s="32" customFormat="1">
      <c r="A3" s="40"/>
      <c r="B3" s="40"/>
      <c r="C3" s="79"/>
      <c r="D3" s="82"/>
      <c r="E3" s="37" t="s">
        <v>107</v>
      </c>
      <c r="F3" s="51"/>
      <c r="G3" s="52" t="s">
        <v>45</v>
      </c>
      <c r="H3" s="17"/>
      <c r="I3" s="17"/>
      <c r="J3" s="5">
        <f xml:space="preserve"> Time!J$16</f>
        <v>1</v>
      </c>
      <c r="K3" s="5">
        <f xml:space="preserve"> Time!K$16</f>
        <v>2</v>
      </c>
      <c r="L3" s="5">
        <f xml:space="preserve"> Time!L$16</f>
        <v>3</v>
      </c>
      <c r="M3" s="5">
        <f xml:space="preserve"> Time!M$16</f>
        <v>4</v>
      </c>
      <c r="N3" s="5">
        <f xml:space="preserve"> Time!N$16</f>
        <v>5</v>
      </c>
      <c r="O3" s="5">
        <f xml:space="preserve"> Time!O$16</f>
        <v>6</v>
      </c>
      <c r="P3" s="5">
        <f xml:space="preserve"> Time!P$16</f>
        <v>7</v>
      </c>
      <c r="Q3" s="5">
        <f xml:space="preserve"> Time!Q$16</f>
        <v>8</v>
      </c>
      <c r="R3" s="5">
        <f xml:space="preserve"> Time!R$16</f>
        <v>9</v>
      </c>
      <c r="S3" s="5">
        <f xml:space="preserve"> Time!S$16</f>
        <v>10</v>
      </c>
    </row>
    <row r="4" spans="1:19" s="30" customFormat="1">
      <c r="A4" s="40"/>
      <c r="B4" s="40"/>
      <c r="C4" s="79"/>
      <c r="D4" s="82"/>
      <c r="E4" s="17" t="s">
        <v>179</v>
      </c>
      <c r="F4" s="20"/>
      <c r="G4" s="17"/>
      <c r="H4" s="17"/>
      <c r="I4" s="17"/>
    </row>
    <row r="5" spans="1:19" s="32" customFormat="1">
      <c r="A5" s="40"/>
      <c r="B5" s="40"/>
      <c r="C5" s="79"/>
      <c r="D5" s="82"/>
      <c r="E5" s="17" t="s">
        <v>165</v>
      </c>
      <c r="F5" s="20" t="s">
        <v>129</v>
      </c>
      <c r="G5" s="20" t="s">
        <v>118</v>
      </c>
      <c r="H5" s="20" t="s">
        <v>106</v>
      </c>
      <c r="I5" s="17"/>
      <c r="J5" s="8"/>
      <c r="K5" s="8"/>
      <c r="L5" s="8"/>
      <c r="M5" s="8"/>
      <c r="N5" s="8"/>
      <c r="O5" s="8"/>
    </row>
    <row r="6" spans="1:19" s="37" customFormat="1">
      <c r="A6" s="20"/>
      <c r="B6" s="20"/>
      <c r="C6" s="47"/>
      <c r="D6" s="87"/>
      <c r="F6" s="20"/>
      <c r="G6" s="20"/>
      <c r="H6" s="20"/>
    </row>
    <row r="9" spans="1:19">
      <c r="B9" s="20" t="s">
        <v>139</v>
      </c>
    </row>
  </sheetData>
  <conditionalFormatting sqref="F2:F3">
    <cfRule type="cellIs" dxfId="63" priority="1" stopIfTrue="1" operator="notEqual">
      <formula>0</formula>
    </cfRule>
    <cfRule type="cellIs" dxfId="62" priority="2" stopIfTrue="1" operator="equal">
      <formula>""</formula>
    </cfRule>
  </conditionalFormatting>
  <conditionalFormatting sqref="J3:S3">
    <cfRule type="cellIs" dxfId="61" priority="8" operator="equal">
      <formula>"PPA ext."</formula>
    </cfRule>
    <cfRule type="cellIs" dxfId="60" priority="9" operator="equal">
      <formula>"Delay"</formula>
    </cfRule>
    <cfRule type="cellIs" dxfId="59" priority="10" operator="equal">
      <formula>"Fin Close"</formula>
    </cfRule>
    <cfRule type="cellIs" dxfId="58" priority="11" stopIfTrue="1" operator="equal">
      <formula>"Construction"</formula>
    </cfRule>
    <cfRule type="cellIs" dxfId="57" priority="12" stopIfTrue="1" operator="equal">
      <formula>"Operations"</formula>
    </cfRule>
  </conditionalFormatting>
  <printOptions headings="1"/>
  <pageMargins left="0.74803149606299213" right="0.74803149606299213" top="0.98425196850393704" bottom="0.98425196850393704" header="0.51181102362204722" footer="0.51181102362204722"/>
  <pageSetup paperSize="9" scale="49" orientation="landscape" blackAndWhite="1"/>
  <headerFooter>
    <oddHeader>&amp;LPROJECT [XXX]&amp;CSheet:&amp;A&amp;RSTRICTLY CONFIDENTIAL</oddHeader>
    <oddFooter>&amp;L&amp;F ( Printed on &amp;D at &amp;T )&amp;RPage &amp;P of &amp;N</oddFooter>
  </headerFooter>
  <customProperties>
    <customPr name="MMGroup" r:id="rId1"/>
    <customPr name="MMSheetType" r:id="rId2"/>
    <customPr name="MMTimeAxis" r:id="rId3"/>
  </customPropertie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odelMaker>
<![CDATA[{
  "$id": "1",
  "$type": "ModelMaker.Models.Project, ModelMaker",
  "CanShowCompletionItems": true,
  "HistoricResults": null,
  "HasMultipleTimelines": false,
  "Dimensions": {
    "$type": "ModelMakerEngine.MMDimensions, ModelMakerEngine",
    "$values": []
  },
  "HasDimensions": false,
  "DefaultUnit": {
    "$id": "2",
    "$type": "ModelMaker.Unit, ModelMaker",
    "NumberFormatOverride": null,
    "MatchAnything": false,
    "ExternalRepresentation": "GBP",
    "ItemsOnTop": {
      "$type": "System.Collections.Generic.List`1[[System.String, mscorlib]], mscorlib",
      "$values": [
        "GBP"
      ]
    },
    "ItemsOnBottom": {
      "$type": "System.Collections.Generic.List`1[[System.String, mscorlib]], mscorlib",
      "$values": []
    },
    "IsCurrency": false,
    "ContainsSMU": false,
    "IsDimensionless": false,
    "InsertRowTotal": true,
    "IgnoreWhenDeterminingExpectedUnits": false
  },
  "FileVersion": 2,
  "FilePath": "C:\\Users\\andyd\\OneDrive\\Documents\\Financial Models\\NP3\\NP3.obz",
  "Nodes": {
    "$type": "ModelMaker.Models.ProjectItemSet`1[[ModelMakerEngine.INode, ModelMakerEngine]], ModelMaker",
    "$values": [
      {
        "$id": "3",
        "$type": "ModelMaker.GroupNode, ModelMaker",
        "TabOrHeaderColour": "",
        "Comment": "",
        "NameOfGroup": null,
        "YPosition": 0,
        "Folded": false,
        "Font": null,
        "Children": {
          "$type": "ModelMaker.GroupNodeChildCollection, ModelMaker",
          "$values": [
            {
              "$id": "4",
              "$type": "ModelMaker.VariableNode, ModelMaker",
              "RowTotalDependent": null,
              "PutCalculationOnReport": false,
              "CalculateOnThisReport": null,
              "PivotTableLink": null,
              "ExcelNameName": "Total_Shares_In_Issue",
              "ExcelNameNames": {
                "$type": "ModelMakerEngine.ExcelNameDictionary, ModelMakerEngine",
                "$values": []
              },
              "NumberFormatOverride": null,
              "HasOpeningBalanceFlag": false,
              "OpeningBalanceFlagAppliedName": "",
              "Deletable": true,
              "Comment": "",
              "HasSwitchSignLine": false,
              "SwitchSignForReport": false,
              "MultipleInputValues": null,
              "NonPrimaryInput": false,
              "Max": "NaN",
              "Min": "NaN",
              "IsBalanceButNotCorkscrew": false,
              "IsEditable": false,
              "IsConstant": false,
              "UniqueID": "60ad8a9f-4039-4398-a0b5-3fd991666cf2",
              "Dimensions": {
                "$type": "ModelMakerEngine.MMDimensions, ModelMakerEngine",
                "$values": []
              },
              "EquationOBXInternal": "",
              "NameOfGroup": "Capital",
              "EquationToParse": "",
              "MostRecentExpectedUnitErrors": null,
              "Units": {
                "$ref": "2"
              },
              "Name": "Total Shares In Issue",
              "ReportLines": {
                "$type": "ModelMaker.UndoableCollection`1[[ModelMakerEngine.IReportLine, ModelMakerEngine]], ModelMaker.Undo",
                "$values": [
                  {
                    "$id": "5",
                    "$type": "ModelMaker.ReportLine, ModelMaker",
                    "AssociatedSchematicNode": {
                      "$ref": "4"
                    },
                    "OpeningBalanceFlagAppliedName": "",
                    "SumOfAboveIncludesPreviousTotal": false,
                    "LastNameUsed": null,
                    "SwitchSignForReport": false,
                    "IsSumOfAbove": true,
                    "ParentReport": {
                      "$id": "6",
                      "$type": "ModelMaker.Report, ModelMaker",
                      "TimeStep": 8,
                      "YearEndBasis": 1002,
                      "TimeStepYearEndBasisPairs": {
                        "$type": "ModelMaker.UndoableCollection`1[[ModelMakerEngine.TimeStepPeriodEndBasisPair, ModelMakerEngine]], ModelMaker.Undo",
                        "$values": [
                          {
                            "$id": "7",
                            "$type": "ModelMakerEngine.TimeStepPeriodEndBasisPair, ModelMakerEngine",
                            "TimeStep": 8,
                            "YearEnd": 1002
                          }
                        ]
                      },
                      "YearEndMonth": 8,
                      "AllowTitleChange": true,
                      "IsDuplicate": false,
                      "Title": "Company Report",
                      "ReportLinesCalculated": {
                        "$type": "System.Collections.Generic.List`1[[ModelMakerEngine.IReportLine, ModelMakerEngine]], mscorlib",
                        "$values": [
                          {
                            "$id": "8",
                            "$type": "ModelMaker.ReportLine, ModelMaker",
                            "AssociatedSchematicNode": {
                              "$id": "9",
                              "$type": "ModelMaker.StockNode, ModelMaker",
                              "OpeningOrActualsName": "",
                              "InFlows": {
                                "$type": "System.Collections.Generic.List`1[[ModelMakerEngine.IEquationNode, ModelMakerEngine]], mscorlib",
                                "$values": [
                                  {
                                    "$id": "10",
                                    "$type": "ModelMaker.VariableNode, ModelMaker",
                                    "RowTotalDependent": null,
                                    "PutCalculationOnReport": false,
                                    "CalculateOnThisReport": null,
                                    "PivotTableLink": null,
                                    "ExcelNameName": "New_Company_Loan_Note",
                                    "ExcelNameNames": {
                                      "$type": "ModelMakerEngine.ExcelNameDictionary, ModelMakerEngine",
                                      "$values": []
                                    },
                                    "NumberFormatOverride": null,
                                    "HasOpeningBalanceFlag": false,
                                    "OpeningBalanceFlagAppliedName": "",
                                    "Deletable": true,
                                    "Comment": "",
                                    "HasSwitchSignLine": false,
                                    "SwitchSignForReport": false,
                                    "MultipleInputValues": {
                                      "$type": "System.Collections.Generic.List`1[[ModelMaker.DimensionedArrayValues, ModelMaker]], mscorlib",
                                      "$values": [
                                        {
                                          "$id": "11",
                                          "$type": "ModelMaker.DimensionedArrayValues, ModelMaker",
                                          "Elements": {
                                            "$type": "ModelMakerEngine.MMElements, ModelMakerEngine",
                                            "$values": []
                                          },
                                          "Values": {
                                            "$type": "System.Collections.Generic.List`1[[System.Object, mscorlib]], mscorlib",
                                            "$values": [
                                              "150000",
                                              "350000",
                                              "750000",
                                              "1500000",
                                              "",
                                              "",
                                              "",
                                              "",
                                              "",
                                              "",
                                              ""
                                            ]
                                          }
                                        }
                                      ]
                                    },
                                    "NonPrimaryInput": false,
                                    "Max": "NaN",
                                    "Min": "NaN",
                                    "IsBalanceButNotCorkscrew": false,
                                    "IsEditable": true,
                                    "IsConstant": false,
                                    "UniqueID": "e61518b7-1829-45b2-8e95-62fff3cd7390",
                                    "Dimensions": {
                                      "$type": "ModelMakerEngine.MMDimensions, ModelMakerEngine",
                                      "$values": []
                                    },
                                    "EquationOBXInternal": "{150000,350000,750000,1500000,,,,,,,}",
                                    "NameOfGroup": "Inputs.New Debt",
                                    "EquationToParse": "{150000,350000,750000,1500000,,,,,,,}",
                                    "MostRecentExpectedUnitErrors": null,
                                    "Units": {
                                      "$ref": "2"
                                    },
                                    "Name": "New Company Loan Note",
                                    "ReportLines": {
                                      "$type": "ModelMaker.UndoableCollection`1[[ModelMakerEngine.IReportLine, ModelMakerEngine]], ModelMaker.Undo",
                                      "$values": [
                                        {
                                          "$id": "12",
                                          "$type": "ModelMaker.ReportLine, ModelMaker",
                                          "AssociatedSchematicNode": {
                                            "$ref": "10"
                                          },
                                          "OpeningBalanceFlagAppliedName": "",
                                          "SumOfAboveIncludesPreviousTotal": false,
                                          "LastNameUsed": null,
                                          "SwitchSignForReport": false,
                                          "IsSumOfAbove": false,
                                          "ParentReport": {
                                            "$id": "13",
                                            "$type": "ModelMaker.Report, ModelMaker",
                                            "TimeStep": 8,
                                            "YearEndBasis": 1002,
                                            "TimeStepYearEndBasisPairs": {
                                              "$type": "ModelMaker.UndoableCollection`1[[ModelMakerEngine.TimeStepPeriodEndBasisPair, ModelMakerEngine]], ModelMaker.Undo",
                                              "$values": [
                                                {
                                                  "$id": "14",
                                                  "$type": "ModelMakerEngine.TimeStepPeriodEndBasisPair, ModelMakerEngine",
                                                  "TimeStep": 8,
                                                  "YearEnd": 1002
                                                }
                                              ]
                                            },
                                            "YearEndMonth": 8,
                                            "AllowTitleChange": true,
                                            "IsDuplicate": false,
                                            "Title": "Cohort Report",
                                            "ReportLinesCalculated": {
                                              "$type": "System.Collections.Generic.List`1[[ModelMakerEngine.IReportLine, ModelMakerEngine]], mscorlib",
                                              "$values": [
                                                {
                                                  "$id": "15",
                                                  "$type": "ModelMaker.ReportLine, ModelMaker",
                                                  "AssociatedSchematicNode": {
                                                    "$id": "16",
                                                    "$type": "ModelMaker.VariableNode, ModelMaker",
                                                    "RowTotalDependent": null,
                                                    "PutCalculationOnReport": false,
                                                    "CalculateOnThisReport": null,
                                                    "PivotTableLink": null,
                                                    "ExcelNameName": "Percentage_Fail",
                                                    "ExcelNameNames": {
                                                      "$type": "ModelMakerEngine.ExcelNameDictionary, ModelMakerEngine",
                                                      "$values": []
                                                    },
                                                    "NumberFormatOverride": null,
                                                    "HasOpeningBalanceFlag": false,
                                                    "OpeningBalanceFlagAppliedName": "",
                                                    "Deletable": true,
                                                    "Comment": "",
                                                    "HasSwitchSignLine": false,
                                                    "SwitchSignForReport": false,
                                                    "MultipleInputValues": {
                                                      "$type": "System.Collections.Generic.List`1[[ModelMaker.DimensionedArrayValues, ModelMaker]], mscorlib",
                                                      "$values": [
                                                        {
                                                          "$id": "17",
                                                          "$type": "ModelMaker.DimensionedArrayValues, ModelMaker",
                                                          "Elements": {
                                                            "$type": "ModelMakerEngine.MMElements, ModelMakerEngine",
                                                            "$values": []
                                                          },
                                                          "Values": {
                                                            "$type": "System.Collections.Generic.List`1[[System.Object, mscorlib]], mscorlib",
                                                            "$values": [
                                                              "0.3",
                                                              "0.285",
                                                              "0.2",
                                                              "0",
                                                              "0",
                                                              "",
                                                              "",
                                                              "",
                                                              "",
                                                              "",
                                                              ""
                                                            ]
                                                          }
                                                        }
                                                      ]
                                                    },
                                                    "NonPrimaryInput": false,
                                                    "Max": "NaN",
                                                    "Min": "NaN",
                                                    "IsBalanceButNotCorkscrew": false,
                                                    "IsEditable": true,
                                                    "IsConstant": false,
                                                    "UniqueID": "7a0da911-0f9d-423c-8617-191e1773bd36",
                                                    "Dimensions": {
                                                      "$type": "ModelMakerEngine.MMDimensions, ModelMakerEngine",
                                                      "$values": []
                                                    },
                                                    "EquationOBXInternal": "{0.3,0.285,0.2,0,0,,,,,,}",
                                                    "NameOfGroup": "Cohort",
                                                    "EquationToParse": "{0.3,0.285,0.2,0,0,,,,,,}",
                                                    "MostRecentExpectedUnitErrors": null,
                                                    "Units": {
                                                      "$id": "18",
                                                      "$type": "ModelMaker.Unit, ModelMaker",
                                                      "NumberFormatOverride": null,
                                                      "MatchAnything": false,
                                                      "ExternalRepresentation": "%",
                                                      "ItemsOnTop": {
                                                        "$type": "System.Collections.Generic.List`1[[System.String, mscorlib]], mscorlib",
                                                        "$values": []
                                                      },
                                                      "ItemsOnBottom": {
                                                        "$type": "System.Collections.Generic.List`1[[System.String, mscorlib]], mscorlib",
                                                        "$values": []
                                                      },
                                                      "IsCurrency": false,
                                                      "ContainsSMU": false,
                                                      "IsDimensionless": true,
                                                      "InsertRowTotal": true,
                                                      "IgnoreWhenDeterminingExpectedUnits": false
                                                    },
                                                    "Name": "Percentage Fail",
                                                    "ReportLines": {
                                                      "$type": "ModelMaker.UndoableCollection`1[[ModelMakerEngine.IReportLine, ModelMakerEngine]], ModelMaker.Undo",
                                                      "$values": [
                                                        {
                                                          "$ref": "15"
                                                        }
                                                      ]
                                                    },
                                                    "IsOpeningBalance": false,
                                                    "ExternalLinks": {
                                                      "$type": "UINext.Collections.DeepObservableCollection`1[[ExternalLinks.IExternalDataLink, ExternalLinks]], UINext",
                                                      "$values": []
                                                    },
                                                    "HasUnits": true,
                                                    "UnitsValid": true,
                                                    "UnitsErrorMessage": "",
                                                    "IgnoreUnitIssues": false,
                                                    "IsPlaceholder": false,
                                                    "StandardName": 0,
                                                    "IsStandardNode": false,
                                                    "WarnMessage": null,
                                                    "HasStandardDescription": false,
                                                    "HasStandardName": false,
                                                    "OptimisationNodePair": null,
                                                    "IsOptimisationNode": false,
                                                    "Actuals": null,
                                                    "UDFCode": null,
                                                    "AssociatedOptimisationNodes": null,
                                                    "CustomNamedRange": null,
                                                    "IsRowTotal": false,
                                                    "YPosition": 1,
                                                    "Parent": {
                                                      "$ref": "1"
                                                    },
                                                    "Visible": true,
                                                    "Font": null,
                                                    "AllowIncomingLinks": true,
                                                    "AllowOutgoingLinks": true,
                                                    "IncomingLinks": {
                                                      "$type": "System.Collections.ObjectModel.Collection`1[[ModelMaker.MMLink, ModelMaker]], mscorlib",
                                                      "$values": []
                                                    },
                                                    "OutgoingLinks": {
                                                      "$type": "System.Collections.ObjectModel.Collection`1[[ModelMaker.MMLink, ModelMaker]], mscorlib",
                                                      "$values": []
                                                    },
                                                    "Issues": null
                                                  },
                                                  "OpeningBalanceFlagAppliedName": "",
                                                  "SumOfAboveIncludesPreviousTotal": false,
                                                  "LastNameUsed": null,
                                                  "SwitchSignForReport": false,
                                                  "IsSumOfAbove": false,
                                                  "ParentReport": {
                                                    "$ref": "13"
                                                  },
                                                  "HeadingLevel": 0,
                                                  "ReportFormatName": null,
                                                  "YPosition": -1,
                                                  "Visible": true,
                                                  "Font": null,
                                                  "AllowIncomingLinks": true,
                                                  "AllowOutgoingLinks": true,
                                                  "Deletable": true,
                                                  "Issues": null
                                                },
                                                {
                                                  "$id": "19",
                                                  "$type": "ModelMaker.ReportLine, ModelMaker",
                                                  "AssociatedSchematicNode": {
                                                    "$id": "20",
                                                    "$type": "ModelMaker.VariableNode, ModelMaker",
                                                    "RowTotalDependent": null,
                                                    "PutCalculationOnReport": false,
                                                    "CalculateOnThisReport": null,
                                                    "PivotTableLink": null,
                                                    "ExcelNameName": "Percentage_Exit",
                                                    "ExcelNameNames": {
                                                      "$type": "ModelMakerEngine.ExcelNameDictionary, ModelMakerEngine",
                                                      "$values": []
                                                    },
                                                    "NumberFormatOverride": null,
                                                    "HasOpeningBalanceFlag": false,
                                                    "OpeningBalanceFlagAppliedName": "",
                                                    "Deletable": true,
                                                    "Comment": "",
                                                    "HasSwitchSignLine": false,
                                                    "SwitchSignForReport": false,
                                                    "MultipleInputValues": {
                                                      "$type": "System.Collections.Generic.List`1[[ModelMaker.DimensionedArrayValues, ModelMaker]], mscorlib",
                                                      "$values": [
                                                        {
                                                          "$id": "21",
                                                          "$type": "ModelMaker.DimensionedArrayValues, ModelMaker",
                                                          "Elements": {
                                                            "$type": "ModelMakerEngine.MMElements, ModelMakerEngine",
                                                            "$values": []
                                                          },
                                                          "Values": {
                                                            "$type": "System.Collections.Generic.List`1[[System.Object, mscorlib]], mscorlib",
                                                            "$values": [
                                                              "0",
                                                              "0",
                                                              "",
                                                              "0",
                                                              "0.065",
                                                              "0.065",
                                                              "0.065",
                                                              "",
                                                              "",
                                                              "",
                                                              ""
                                                            ]
                                                          }
                                                        }
                                                      ]
                                                    },
                                                    "NonPrimaryInput": false,
                                                    "Max": "NaN",
                                                    "Min": "NaN",
                                                    "IsBalanceButNotCorkscrew": false,
                                                    "IsEditable": true,
                                                    "IsConstant": false,
                                                    "UniqueID": "a27cf2de-dd1a-46b6-b4cf-e7589437288f",
                                                    "Dimensions": {
                                                      "$type": "ModelMakerEngine.MMDimensions, ModelMakerEngine",
                                                      "$values": []
                                                    },
                                                    "EquationOBXInternal": "{0,0,,0,0.065,0.065,0.065,,,,}",
                                                    "NameOfGroup": "Cohort",
                                                    "EquationToParse": "{0,0,,0,0.065,0.065,0.065,,,,}",
                                                    "MostRecentExpectedUnitErrors": null,
                                                    "Units": {
                                                      "$id": "22",
                                                      "$type": "ModelMaker.Unit, ModelMaker",
                                                      "NumberFormatOverride": null,
                                                      "MatchAnything": false,
                                                      "ExternalRepresentation": "%",
                                                      "ItemsOnTop": {
                                                        "$type": "System.Collections.Generic.List`1[[System.String, mscorlib]], mscorlib",
                                                        "$values": []
                                                      },
                                                      "ItemsOnBottom": {
                                                        "$type": "System.Collections.Generic.List`1[[System.String, mscorlib]], mscorlib",
                                                        "$values": []
                                                      },
                                                      "IsCurrency": false,
                                                      "ContainsSMU": false,
                                                      "IsDimensionless": true,
                                                      "InsertRowTotal": true,
                                                      "IgnoreWhenDeterminingExpectedUnits": false
                                                    },
                                                    "Name": "Percentage Exit",
                                                    "ReportLines": {
                                                      "$type": "ModelMaker.UndoableCollection`1[[ModelMakerEngine.IReportLine, ModelMakerEngine]], ModelMaker.Undo",
                                                      "$values": [
                                                        {
                                                          "$ref": "19"
                                                        }
                                                      ]
                                                    },
                                                    "IsOpeningBalance": false,
                                                    "ExternalLinks": {
                                                      "$type": "UINext.Collections.DeepObservableCollection`1[[ExternalLinks.IExternalDataLink, ExternalLinks]], UINext",
                                                      "$values": []
                                                    },
                                                    "HasUnits": true,
                                                    "UnitsValid": true,
                                                    "UnitsErrorMessage": "",
                                                    "IgnoreUnitIssues": false,
                                                    "IsPlaceholder": false,
                                                    "StandardName": 0,
                                                    "IsStandardNode": false,
                                                    "WarnMessage": null,
                                                    "HasStandardDescription": false,
                                                    "HasStandardName": false,
                                                    "OptimisationNodePair": null,
                                                    "IsOptimisationNode": false,
                                                    "Actuals": null,
                                                    "UDFCode": null,
                                                    "AssociatedOptimisationNodes": null,
                                                    "CustomNamedRange": null,
                                                    "IsRowTotal": false,
                                                    "YPosition": 2,
                                                    "Parent": {
                                                      "$ref": "1"
                                                    },
                                                    "Visible": true,
                                                    "Font": null,
                                                    "AllowIncomingLinks": true,
                                                    "AllowOutgoingLinks": true,
                                                    "IncomingLinks": {
                                                      "$type": "System.Collections.ObjectModel.Collection`1[[ModelMaker.MMLink, ModelMaker]], mscorlib",
                                                      "$values": []
                                                    },
                                                    "OutgoingLinks": {
                                                      "$type": "System.Collections.ObjectModel.Collection`1[[ModelMaker.MMLink, ModelMaker]], mscorlib",
                                                      "$values": []
                                                    },
                                                    "Issues": null
                                                  },
                                                  "OpeningBalanceFlagAppliedName": "",
                                                  "SumOfAboveIncludesPreviousTotal": false,
                                                  "LastNameUsed": null,
                                                  "SwitchSignForReport": false,
                                                  "IsSumOfAbove": false,
                                                  "ParentReport": {
                                                    "$ref": "13"
                                                  },
                                                  "HeadingLevel": 0,
                                                  "ReportFormatName": null,
                                                  "YPosition": -1,
                                                  "Visible": true,
                                                  "Font": null,
                                                  "AllowIncomingLinks": true,
                                                  "AllowOutgoingLinks": true,
                                                  "Deletable": true,
                                                  "Issues": null
                                                },
                                                {
                                                  "$id": "23",
                                                  "$type": "ModelMaker.ReportLine, ModelMaker",
                                                  "AssociatedSchematicNode": {
                                                    "$id": "24",
                                                    "$type": "ModelMaker.StockNode, ModelMaker",
                                                    "OpeningOrActualsName": "",
                                                    "InFlows": {
                                                      "$type": "System.Collections.Generic.List`1[[ModelMakerEngine.IEquationNode, ModelMakerEngine]], mscorlib",
                                                      "$values": [
                                                        {
                                                          "$ref": "16"
                                                        }
                                                      ]
                                                    },
                                                    "OutFlows": {
                                                      "$type": "System.Collections.Generic.List`1[[ModelMakerEngine.IEquationNode, ModelMakerEngine]], mscorlib",
                                                      "$values": [
                                                        {
                                                          "$ref": "20"
                                                        }
                                                      ]
                                                    },
                                                    "FlagApplied": null,
                                                    "ActualsFlag": null,
                                                    "Name": "Percentage Graduate",
                                                    "HasDefaultEquation": false,
                                                    "NonStandardBalanceFormula": false,
                                                    "EquationOBXInternal": "IF([Period number]=0,1,BEG() - [Percentage Exit]-[Percentage Fail] ) ",
                                                    "InitialOpeningVariable": null,
                                                    "Units": {
                                                      "$id": "25",
                                                      "$type": "ModelMaker.Unit, ModelMaker",
                                                      "NumberFormatOverride": null,
                                                      "MatchAnything": false,
                                                      "ExternalRepresentation": "%",
                                                      "ItemsOnTop": {
                                                        "$type": "System.Collections.Generic.List`1[[System.String, mscorlib]], mscorlib",
                                                        "$values": []
                                                      },
                                                      "ItemsOnBottom": {
                                                        "$type": "System.Collections.Generic.List`1[[System.String, mscorlib]], mscorlib",
                                                        "$values": []
                                                      },
                                                      "IsCurrency": false,
                                                      "ContainsSMU": false,
                                                      "IsDimensionless": true,
                                                      "InsertRowTotal": true,
                                                      "IgnoreWhenDeterminingExpectedUnits": false
                                                    },
                                                    "Visible": true,
                                                    "RowTotalDependent": null,
                                                    "PutCalculationOnReport": false,
                                                    "CalculateOnThisReport": null,
                                                    "PivotTableLink": null,
                                                    "ExcelNameName": "Percentage_Graduate.BEG",
                                                    "ExcelNameNames": {
                                                      "$type": "ModelMakerEngine.ExcelNameDictionary, ModelMakerEngine",
                                                      "$values": []
                                                    },
                                                    "NumberFormatOverride": null,
                                                    "Deletable": true,
                                                    "Comment": "",
                                                    "HasSwitchSignLine": false,
                                                    "SwitchSignForReport": false,
                                                    "MultipleInputValues": null,
                                                    "NonPrimaryInput": false,
                                                    "Max": "NaN",
                                                    "Min": "NaN",
                                                    "IsBalanceButNotCorkscrew": false,
                                                    "IsEditable": true,
                                                    "IsConstant": false,
                                                    "UniqueID": "163b382f-c0cf-44e3-8f28-474e004dfbe1",
                                                    "Dimensions": {
                                                      "$type": "ModelMakerEngine.MMDimensions, ModelMakerEngine",
                                                      "$values": []
                                                    },
                                                    "NameOfGroup": "Cohort Structure.Companies",
                                                    "EquationToParse": "IF([Period number]=0,1,BEG() - [Percentage Exit]-[Percentage Fail] ) ",
                                                    "MostRecentExpectedUnitErrors": null,
                                                    "ReportLines": {
                                                      "$type": "ModelMaker.UndoableCollection`1[[ModelMakerEngine.IReportLine, ModelMakerEngine]], ModelMaker.Undo",
                                                      "$values": [
                                                        {
                                                          "$ref": "23"
                                                        }
                                                      ]
                                                    },
                                                    "IsOpeningBalance": false,
                                                    "ExternalLinks": {
                                                      "$type": "UINext.Collections.DeepObservableCollection`1[[ExternalLinks.IExternalDataLink, ExternalLinks]], UINext",
                                                      "$values": []
                                                    },
                                                    "HasUnits": true,
                                                    "UnitsValid": true,
                                                    "UnitsErrorMessage": "",
                                                    "IgnoreUnitIssues": false,
                                                    "IsPlaceholder": false,
                                                    "StandardName": 0,
                                                    "IsStandardNode": false,
                                                    "WarnMessage": null,
                                                    "HasStandardDescription": false,
                                                    "HasStandardName": false,
                                                    "OptimisationNodePair": null,
                                                    "IsOptimisationNode": false,
                                                    "Actuals": null,
                                                    "UDFCode": null,
                                                    "AssociatedOptimisationNodes": null,
                                                    "CustomNamedRange": null,
                                                    "IsRowTotal": false,
                                                    "YPosition": 1,
                                                    "Parent": {
                                                      "$ref": "1"
                                                    },
                                                    "Font": null,
                                                    "AllowIncomingLinks": true,
                                                    "AllowOutgoingLinks": true,
                                                    "IncomingLinks": {
                                                      "$type": "System.Collections.ObjectModel.Collection`1[[ModelMaker.MMLink, ModelMaker]], mscorlib",
                                                      "$values": []
                                                    },
                                                    "OutgoingLinks": {
                                                      "$type": "System.Collections.ObjectModel.Collection`1[[ModelMaker.MMLink, ModelMaker]], mscorlib",
                                                      "$values": []
                                                    },
                                                    "Issues": null
                                                  },
                                                  "OpeningBalanceFlagAppliedName": "",
                                                  "SumOfAboveIncludesPreviousTotal": false,
                                                  "LastNameUsed": null,
                                                  "SwitchSignForReport": false,
                                                  "IsSumOfAbove": false,
                                                  "ParentReport": {
                                                    "$ref": "13"
                                                  },
                                                  "HeadingLevel": 0,
                                                  "ReportFormatName": null,
                                                  "YPosition": -1,
                                                  "Visible": true,
                                                  "Font": null,
                                                  "AllowIncomingLinks": true,
                                                  "AllowOutgoingLinks": true,
                                                  "Deletable": true,
                                                  "Issues": null
                                                },
                                                {
                                                  "$id": "26",
                                                  "$type": "ModelMaker.ReportLine, ModelMaker",
                                                  "AssociatedSchematicNode": {
                                                    "$id": "27",
                                                    "$type": "ModelMaker.StockNode, ModelMaker",
                                                    "OpeningOrActualsName": "",
                                                    "InFlows": {
                                                      "$type": "System.Collections.Generic.List`1[[ModelMakerEngine.IEquationNode, ModelMakerEngine]], mscorlib",
                                                      "$values": [
                                                        {
                                                          "$id": "28",
                                                          "$type": "ModelMaker.VariableNode, ModelMaker",
                                                          "RowTotalDependent": null,
                                                          "PutCalculationOnReport": false,
                                                          "CalculateOnThisReport": null,
                                                          "PivotTableLink": null,
                                                          "ExcelNameName": null,
                                                          "ExcelNameNames": {
                                                            "$type": "ModelMakerEngine.ExcelNameDictionary, ModelMakerEngine",
                                                            "$values": []
                                                          },
                                                          "NumberFormatOverride": null,
                                                          "HasOpeningBalanceFlag": false,
                                                          "OpeningBalanceFlagAppliedName": "",
                                                          "Deletable": true,
                                                          "Comment": "",
                                                          "HasSwitchSignLine": false,
                                                          "SwitchSignForReport": false,
                                                          "MultipleInputValues": null,
                                                          "NonPrimaryInput": false,
                                                          "Max": "NaN",
                                                          "Min": "NaN",
                                                          "IsBalanceButNotCorkscrew": false,
                                                          "IsEditable": true,
                                                          "IsConstant": false,
                                                          "UniqueID": "f4093dbb-91f7-4cdb-8994-32da662cd7a6",
                                                          "Dimensions": {
                                                            "$type": "ModelMakerEngine.MMDimensions, ModelMakerEngine",
                                                            "$values": []
                                                          },
                                                          "EquationOBXInternal": "[Companies in Cohort]*[Percentage Exit]",
                                                          "NameOfGroup": "Cohort Structure.Companies",
                                                          "EquationToParse": "[Companies in Cohort]*[Percentage Exit]",
                                                          "MostRecentExpectedUnitErrors": null,
                                                          "Units": {
                                                            "$id": "29",
                                                            "$type": "ModelMaker.Unit, ModelMaker",
                                                            "NumberFormatOverride": null,
                                                            "MatchAnything": false,
                                                            "ExternalRepresentation": "Companies",
                                                            "ItemsOnTop": {
                                                              "$type": "System.Collections.Generic.List`1[[System.String, mscorlib]], mscorlib",
                                                              "$values": [
                                                                "Companies"
                                                              ]
                                                            },
                                                            "ItemsOnBottom": {
                                                              "$type": "System.Collections.Generic.List`1[[System.String, mscorlib]], mscorlib",
                                                              "$values": []
                                                            },
                                                            "IsCurrency": false,
                                                            "ContainsSMU": false,
                                                            "IsDimensionless": false,
                                                            "InsertRowTotal": true,
                                                            "IgnoreWhenDeterminingExpectedUnits": false
                                                          },
                                                          "Name": "Exits",
                                                          "ReportLines": {
                                                            "$type": "ModelMaker.UndoableCollection`1[[ModelMakerEngine.IReportLine, ModelMakerEngine]], ModelMaker.Undo",
                                                            "$values": []
                                                          },
                                                          "IsOpeningBalance": false,
                                                          "ExternalLinks": {
                                                            "$type": "UINext.Collections.DeepObservableCollection`1[[ExternalLinks.IExternalDataLink, ExternalLinks]], UINext",
                                                            "$values": []
                                                          },
                                                          "HasUnits": true,
                                                          "UnitsValid": true,
                                                          "UnitsErrorMessage": "",
                                                          "IgnoreUnitIssues": true,
                                                          "IsPlaceholder": false,
                                                          "StandardName": 0,
                                                          "IsStandardNode": false,
                                                          "WarnMessage": null,
                                                          "HasStandardDescription": false,
                                                          "HasStandardName": false,
                                                          "OptimisationNodePair": null,
                                                          "IsOptimisationNode": false,
                                                          "Actuals": null,
                                                          "UDFCode": null,
                                                          "AssociatedOptimisationNodes": null,
                                                          "CustomNamedRange": null,
                                                          "IsRowTotal": false,
                                                          "YPosition": 2,
                                                          "Parent": {
                                                            "$ref": "1"
                                                          },
                                                          "Visible": true,
                                                          "Font": null,
                                                          "AllowIncomingLinks": true,
                                                          "AllowOutgoingLinks": true,
                                                          "IncomingLinks": {
                                                            "$type": "System.Collections.ObjectModel.Collection`1[[ModelMaker.MMLink, ModelMaker]], mscorlib",
                                                            "$values": []
                                                          },
                                                          "OutgoingLinks": {
                                                            "$type": "System.Collections.ObjectModel.Collection`1[[ModelMaker.MMLink, ModelMaker]], mscorlib",
                                                            "$values": []
                                                          },
                                                          "Issues": null
                                                        }
                                                      ]
                                                    },
                                                    "OutFlows": {
                                                      "$type": "System.Collections.Generic.List`1[[ModelMakerEngine.IEquationNode, ModelMakerEngine]], mscorlib",
                                                      "$values": [
                                                        {
                                                          "$id": "30",
                                                          "$type": "ModelMaker.VariableNode, ModelMaker",
                                                          "RowTotalDependent": null,
                                                          "PutCalculationOnReport": false,
                                                          "CalculateOnThisReport": null,
                                                          "PivotTableLink": null,
                                                          "ExcelNameName": null,
                                                          "ExcelNameNames": {
                                                            "$type": "ModelMakerEngine.ExcelNameDictionary, ModelMakerEngine",
                                                            "$values": []
                                                          },
                                                          "NumberFormatOverride": null,
                                                          "HasOpeningBalanceFlag": false,
                                                          "OpeningBalanceFlagAppliedName": "",
                                                          "Deletable": true,
                                                          "Comment": "",
                                                          "HasSwitchSignLine": false,
                                                          "SwitchSignForReport": false,
                                                          "MultipleInputValues": null,
                                                          "NonPrimaryInput": false,
                                                          "Max": "NaN",
                                                          "Min": "NaN",
                                                          "IsBalanceButNotCorkscrew": false,
                                                          "IsEditable": true,
                                                          "IsConstant": false,
                                                          "UniqueID": "69b74cc9-134a-4a4d-a1b6-77acb7771224",
                                                          "Dimensions": {
                                                            "$type": "ModelMakerEngine.MMDimensions, ModelMakerEngine",
                                                            "$values": []
                                                          },
                                                          "EquationOBXInternal": "[Companies in Cohort]*[Percentage Fail]",
                                                          "NameOfGroup": "Cohort Structure.Companies",
                                                          "EquationToParse": "[Companies in Cohort]*[Percentage Fail]",
                                                          "MostRecentExpectedUnitErrors": null,
                                                          "Units": {
                                                            "$id": "31",
                                                            "$type": "ModelMaker.Unit, ModelMaker",
                                                            "NumberFormatOverride": null,
                                                            "MatchAnything": false,
                                                            "ExternalRepresentation": "Companies",
                                                            "ItemsOnTop": {
                                                              "$type": "System.Collections.Generic.List`1[[System.String, mscorlib]], mscorlib",
                                                              "$values": [
                                                                "Companies"
                                                              ]
                                                            },
                                                            "ItemsOnBottom": {
                                                              "$type": "System.Collections.Generic.List`1[[System.String, mscorlib]], mscorlib",
                                                              "$values": []
                                                            },
                                                            "IsCurrency": false,
                                                            "ContainsSMU": false,
                                                            "IsDimensionless": false,
                                                            "InsertRowTotal": true,
                                                            "IgnoreWhenDeterminingExpectedUnits": false
                                                          },
                                                          "Name": "Failures",
                                                          "ReportLines": {
                                                            "$type": "ModelMaker.UndoableCollection`1[[ModelMakerEngine.IReportLine, ModelMakerEngine]], ModelMaker.Undo",
                                                            "$values": []
                                                          },
                                                          "IsOpeningBalance": false,
                                                          "ExternalLinks": {
                                                            "$type": "UINext.Collections.DeepObservableCollection`1[[ExternalLinks.IExternalDataLink, ExternalLinks]], UINext",
                                                            "$values": []
                                                          },
                                                          "HasUnits": true,
                                                          "UnitsValid": true,
                                                          "UnitsErrorMessage": "",
                                                          "IgnoreUnitIssues": true,
                                                          "IsPlaceholder": false,
                                                          "StandardName": 0,
                                                          "IsStandardNode": false,
                                                          "WarnMessage": null,
                                                          "HasStandardDescription": false,
                                                          "HasStandardName": false,
                                                          "OptimisationNodePair": null,
                                                          "IsOptimisationNode": false,
                                                          "Actuals": null,
                                                          "UDFCode": null,
                                                          "AssociatedOptimisationNodes": null,
                                                          "CustomNamedRange": null,
                                                          "IsRowTotal": false,
                                                          "YPosition": 3,
                                                          "Parent": {
                                                            "$ref": "1"
                                                          },
                                                          "Visible": true,
                                                          "Font": null,
                                                          "AllowIncomingLinks": true,
                                                          "AllowOutgoingLinks": true,
                                                          "IncomingLinks": {
                                                            "$type": "System.Collections.ObjectModel.Collection`1[[ModelMaker.MMLink, ModelMaker]], mscorlib",
                                                            "$values": []
                                                          },
                                                          "OutgoingLinks": {
                                                            "$type": "System.Collections.ObjectModel.Collection`1[[ModelMaker.MMLink, ModelMaker]], mscorlib",
                                                            "$values": []
                                                          },
                                                          "Issues": null
                                                        }
                                                      ]
                                                    },
                                                    "FlagApplied": null,
                                                    "ActualsFlag": null,
                                                    "Name": "Remaing Companies",
                                                    "HasDefaultEquation": false,
                                                    "NonStandardBalanceFormula": false,
                                                    "EquationOBXInternal": "IF([Period number]=0,[Companies in Cohort],BEG()-[Failures]-[Exits]) ",
                                                    "InitialOpeningVariable": null,
                                                    "Units": {
                                                      "$ref": "31"
                                                    },
                                                    "Visible": true,
                                                    "RowTotalDependent": null,
                                                    "PutCalculationOnReport": false,
                                                    "CalculateOnThisReport": null,
                                                    "PivotTableLink": null,
                                                    "ExcelNameName": "Remaing_Companies.BEG",
                                                    "ExcelNameNames": {
                                                      "$type": "ModelMakerEngine.ExcelNameDictionary, ModelMakerEngine",
                                                      "$values": []
                                                    },
                                                    "NumberFormatOverride": "General",
                                                    "Deletable": true,
                                                    "Comment": "",
                                                    "HasSwitchSignLine": false,
                                                    "SwitchSignForReport": false,
                                                    "MultipleInputValues": null,
                                                    "NonPrimaryInput": false,
                                                    "Max": "NaN",
                                                    "Min": "NaN",
                                                    "IsBalanceButNotCorkscrew": false,
                                                    "IsEditable": true,
                                                    "IsConstant": false,
                                                    "UniqueID": "64482b4b-d65f-4e71-a0f9-4cd871f50ced",
                                                    "Dimensions": {
                                                      "$type": "ModelMakerEngine.MMDimensions, ModelMakerEngine",
                                                      "$values": []
                                                    },
                                                    "NameOfGroup": "Cohort Structure.Companies",
                                                    "EquationToParse": "IF([Period number]=0,[Companies in Cohort],BEG()-[Failures]-[Exits]) ",
                                                    "MostRecentExpectedUnitErrors": null,
                                                    "ReportLines": {
                                                      "$type": "ModelMaker.UndoableCollection`1[[ModelMakerEngine.IReportLine, ModelMakerEngine]], ModelMaker.Undo",
                                                      "$values": [
                                                        {
                                                          "$ref": "26"
                                                        }
                                                      ]
                                                    },
                                                    "IsOpeningBalance": false,
                                                    "ExternalLinks": {
                                                      "$type": "UINext.Collections.DeepObservableCollection`1[[ExternalLinks.IExternalDataLink, ExternalLinks]], UINext",
                                                      "$values": []
                                                    },
                                                    "HasUnits": true,
                                                    "UnitsValid": true,
                                                    "UnitsErrorMessage": "",
                                                    "IgnoreUnitIssues": false,
                                                    "IsPlaceholder": false,
                                                    "StandardName": 0,
                                                    "IsStandardNode": false,
                                                    "WarnMessage": null,
                                                    "HasStandardDescription": false,
                                                    "HasStandardName": false,
                                                    "OptimisationNodePair": null,
                                                    "IsOptimisationNode": false,
                                                    "Actuals": null,
                                                    "UDFCode": null,
                                                    "AssociatedOptimisationNodes": null,
                                                    "CustomNamedRange": null,
                                                    "IsRowTotal": false,
                                                    "YPosition": 0,
                                                    "Parent": {
                                                      "$ref": "1"
                                                    },
                                                    "Font": null,
                                                    "AllowIncomingLinks": true,
                                                    "AllowOutgoingLinks": true,
                                                    "IncomingLinks": {
                                                      "$type": "System.Collections.ObjectModel.Collection`1[[ModelMaker.MMLink, ModelMaker]], mscorlib",
                                                      "$values": []
                                                    },
                                                    "OutgoingLinks": {
                                                      "$type": "System.Collections.ObjectModel.Collection`1[[ModelMaker.MMLink, ModelMaker]], mscorlib",
                                                      "$values": []
                                                    },
                                                    "Issues": null
                                                  },
                                                  "OpeningBalanceFlagAppliedName": "",
                                                  "SumOfAboveIncludesPreviousTotal": false,
                                                  "LastNameUsed": null,
                                                  "SwitchSignForReport": false,
                                                  "IsSumOfAbove": false,
                                                  "ParentReport": {
                                                    "$ref": "13"
                                                  },
                                                  "HeadingLevel": 0,
                                                  "ReportFormatName": null,
                                                  "YPosition": -1,
                                                  "Visible": true,
                                                  "Font": null,
                                                  "AllowIncomingLinks": true,
                                                  "AllowOutgoingLinks": true,
                                                  "Deletable": true,
                                                  "Issues": null
                                                },
                                                {
                                                  "$id": "32",
                                                  "$type": "ModelMaker.ReportLine, ModelMaker",
                                                  "AssociatedSchematicNode": {
                                                    "$id": "33",
                                                    "$type": "ModelMaker.StockNode, ModelMaker",
                                                    "OpeningOrActualsName": "",
                                                    "InFlows": {
                                                      "$type": "System.Collections.Generic.List`1[[ModelMakerEngine.IEquationNode, ModelMakerEngine]], mscorlib",
                                                      "$values": [
                                                        {
                                                          "$ref": "28"
                                                        }
                                                      ]
                                                    },
                                                    "OutFlows": {
                                                      "$type": "System.Collections.Generic.List`1[[ModelMakerEngine.IEquationNode, ModelMakerEngine]], mscorlib",
                                                      "$values": []
                                                    },
                                                    "FlagApplied": null,
                                                    "ActualsFlag": null,
                                                    "Name": "Exited Companies",
                                                    "HasDefaultEquation": false,
                                                    "NonStandardBalanceFormula": false,
                                                    "EquationOBXInternal": "IF([Period number]=0,0,BEG() + [Exits] ) ",
                                                    "InitialOpeningVariable": null,
                                                    "Units": {
                                                      "$ref": "29"
                                                    },
                                                    "Visible": true,
                                                    "RowTotalDependent": null,
                                                    "PutCalculationOnReport": false,
                                                    "CalculateOnThisReport": null,
                                                    "PivotTableLink": null,
                                                    "ExcelNameName": "Exited_Companies.BEG",
                                                    "ExcelNameNames": {
                                                      "$type": "ModelMakerEngine.ExcelNameDictionary, ModelMakerEngine",
                                                      "$values": []
                                                    },
                                                    "NumberFormatOverride": "General",
                                                    "Deletable": true,
                                                    "Comment": "",
                                                    "HasSwitchSignLine": false,
                                                    "SwitchSignForReport": false,
                                                    "MultipleInputValues": null,
                                                    "NonPrimaryInput": false,
                                                    "Max": "NaN",
                                                    "Min": "NaN",
                                                    "IsBalanceButNotCorkscrew": false,
                                                    "IsEditable": true,
                                                    "IsConstant": false,
                                                    "UniqueID": "97a0e7ce-1fef-4b49-a3a5-0892ad534e70",
                                                    "Dimensions": {
                                                      "$type": "ModelMakerEngine.MMDimensions, ModelMakerEngine",
                                                      "$values": []
                                                    },
                                                    "NameOfGroup": "Cohort Structure.Companies",
                                                    "EquationToParse": "IF([Period number]=0,0,BEG() + [Exits] ) ",
                                                    "MostRecentExpectedUnitErrors": null,
                                                    "ReportLines": {
                                                      "$type": "ModelMaker.UndoableCollection`1[[ModelMakerEngine.IReportLine, ModelMakerEngine]], ModelMaker.Undo",
                                                      "$values": [
                                                        {
                                                          "$ref": "32"
                                                        }
                                                      ]
                                                    },
                                                    "IsOpeningBalance": false,
                                                    "ExternalLinks": {
                                                      "$type": "UINext.Collections.DeepObservableCollection`1[[ExternalLinks.IExternalDataLink, ExternalLinks]], UINext",
                                                      "$values": []
                                                    },
                                                    "HasUnits": true,
                                                    "UnitsValid": true,
                                                    "UnitsErrorMessage": "",
                                                    "IgnoreUnitIssues": false,
                                                    "IsPlaceholder": false,
                                                    "StandardName": 0,
                                                    "IsStandardNode": false,
                                                    "WarnMessage": null,
                                                    "HasStandardDescription": false,
                                                    "HasStandardName": false,
                                                    "OptimisationNodePair": null,
                                                    "IsOptimisationNode": false,
                                                    "Actuals": null,
                                                    "UDFCode": null,
                                                    "AssociatedOptimisationNodes": null,
                                                    "CustomNamedRange": null,
                                                    "IsRowTotal": false,
                                                    "YPosition": 4,
                                                    "Parent": {
                                                      "$ref": "1"
                                                    },
                                                    "Font": null,
                                                    "AllowIncomingLinks": true,
                                                    "AllowOutgoingLinks": true,
                                                    "IncomingLinks": {
                                                      "$type": "System.Collections.ObjectModel.Collection`1[[ModelMaker.MMLink, ModelMaker]], mscorlib",
                                                      "$values": []
                                                    },
                                                    "OutgoingLinks": {
                                                      "$type": "System.Collections.ObjectModel.Collection`1[[ModelMaker.MMLink, ModelMaker]], mscorlib",
                                                      "$values": []
                                                    },
                                                    "Issues": null
                                                  },
                                                  "OpeningBalanceFlagAppliedName": "",
                                                  "SumOfAboveIncludesPreviousTotal": false,
                                                  "LastNameUsed": null,
                                                  "SwitchSignForReport": false,
                                                  "IsSumOfAbove": false,
                                                  "ParentReport": {
                                                    "$ref": "13"
                                                  },
                                                  "HeadingLevel": 0,
                                                  "ReportFormatName": null,
                                                  "YPosition": -1,
                                                  "Visible": true,
                                                  "Font": null,
                                                  "AllowIncomingLinks": true,
                                                  "AllowOutgoingLinks": true,
                                                  "Deletable": true,
                                                  "Issues": null
                                                },
                                                {
                                                  "$id": "34",
                                                  "$type": "ModelMaker.ReportLine, ModelMaker",
                                                  "AssociatedSchematicNode": {
                                                    "$id": "35",
                                                    "$type": "ModelMaker.StockNode, ModelMaker",
                                                    "OpeningOrActualsName": "",
                                                    "InFlows": {
                                                      "$type": "System.Collections.Generic.List`1[[ModelMakerEngine.IEquationNode, ModelMakerEngine]], mscorlib",
                                                      "$values": [
                                                        {
                                                          "$ref": "30"
                                                        }
                                                      ]
                                                    },
                                                    "OutFlows": {
                                                      "$type": "System.Collections.Generic.List`1[[ModelMakerEngine.IEquationNode, ModelMakerEngine]], mscorlib",
                                                      "$values": []
                                                    },
                                                    "FlagApplied": null,
                                                    "ActualsFlag": null,
                                                    "Name": "Failed Companies",
                                                    "HasDefaultEquation": false,
                                                    "NonStandardBalanceFormula": false,
                                                    "EquationOBXInternal": "IF([Period number]=0,0,BEG() + [Failures] ) ",
                                                    "InitialOpeningVariable": null,
                                                    "Units": {
                                                      "$ref": "31"
                                                    },
                                                    "Visible": true,
                                                    "RowTotalDependent": null,
                                                    "PutCalculationOnReport": false,
                                                    "CalculateOnThisReport": null,
                                                    "PivotTableLink": null,
                                                    "ExcelNameName": "Failed_Companies.BEG",
                                                    "ExcelNameNames": {
                                                      "$type": "ModelMakerEngine.ExcelNameDictionary, ModelMakerEngine",
                                                      "$values": []
                                                    },
                                                    "NumberFormatOverride": null,
                                                    "Deletable": true,
                                                    "Comment": "",
                                                    "HasSwitchSignLine": false,
                                                    "SwitchSignForReport": false,
                                                    "MultipleInputValues": null,
                                                    "NonPrimaryInput": false,
                                                    "Max": "NaN",
                                                    "Min": "NaN",
                                                    "IsBalanceButNotCorkscrew": false,
                                                    "IsEditable": true,
                                                    "IsConstant": false,
                                                    "UniqueID": "c0cd4d1b-3b4e-4a96-addd-309011b552a2",
                                                    "Dimensions": {
                                                      "$type": "ModelMakerEngine.MMDimensions, ModelMakerEngine",
                                                      "$values": []
                                                    },
                                                    "NameOfGroup": "Cohort Structure.Companies",
                                                    "EquationToParse": "IF([Period number]=0,0,BEG() + [Failures] ) ",
                                                    "MostRecentExpectedUnitErrors": null,
                                                    "ReportLines": {
                                                      "$type": "ModelMaker.UndoableCollection`1[[ModelMakerEngine.IReportLine, ModelMakerEngine]], ModelMaker.Undo",
                                                      "$values": [
                                                        {
                                                          "$ref": "34"
                                                        }
                                                      ]
                                                    },
                                                    "IsOpeningBalance": false,
                                                    "ExternalLinks": {
                                                      "$type": "UINext.Collections.DeepObservableCollection`1[[ExternalLinks.IExternalDataLink, ExternalLinks]], UINext",
                                                      "$values": []
                                                    },
                                                    "HasUnits": true,
                                                    "UnitsValid": true,
                                                    "UnitsErrorMessage": "",
                                                    "IgnoreUnitIssues": false,
                                                    "IsPlaceholder": false,
                                                    "StandardName": 0,
                                                    "IsStandardNode": false,
                                                    "WarnMessage": null,
                                                    "HasStandardDescription": false,
                                                    "HasStandardName": false,
                                                    "OptimisationNodePair": null,
                                                    "IsOptimisationNode": false,
                                                    "Actuals": null,
                                                    "UDFCode": null,
                                                    "AssociatedOptimisationNodes": null,
                                                    "CustomNamedRange": null,
                                                    "IsRowTotal": false,
                                                    "YPosition": 5,
                                                    "Parent": {
                                                      "$ref": "1"
                                                    },
                                                    "Font": null,
                                                    "AllowIncomingLinks": true,
                                                    "AllowOutgoingLinks": true,
                                                    "IncomingLinks": {
                                                      "$type": "System.Collections.ObjectModel.Collection`1[[ModelMaker.MMLink, ModelMaker]], mscorlib",
                                                      "$values": []
                                                    },
                                                    "OutgoingLinks": {
                                                      "$type": "System.Collections.ObjectModel.Collection`1[[ModelMaker.MMLink, ModelMaker]], mscorlib",
                                                      "$values": []
                                                    },
                                                    "Issues": null
                                                  },
                                                  "OpeningBalanceFlagAppliedName": "",
                                                  "SumOfAboveIncludesPreviousTotal": false,
                                                  "LastNameUsed": null,
                                                  "SwitchSignForReport": false,
                                                  "IsSumOfAbove": false,
                                                  "ParentReport": {
                                                    "$ref": "13"
                                                  },
                                                  "HeadingLevel": 0,
                                                  "ReportFormatName": null,
                                                  "YPosition": -1,
                                                  "Visible": true,
                                                  "Font": null,
                                                  "AllowIncomingLinks": true,
                                                  "AllowOutgoingLinks": true,
                                                  "Deletable": true,
                                                  "Issues": null
                                                },
                                                {
                                                  "$id": "36",
                                                  "$type": "ModelMaker.ReportLine, ModelMaker",
                                                  "AssociatedSchematicNode": {
                                                    "$id": "37",
                                                    "$type": "ModelMaker.VariableNode, ModelMaker",
                                                    "RowTotalDependent": null,
                                                    "PutCalculationOnReport": false,
                                                    "CalculateOnThisReport": null,
                                                    "PivotTableLink": null,
                                                    "ExcelNameName": "Total_Companies",
                                                    "ExcelNameNames": {
                                                      "$type": "ModelMakerEngine.ExcelNameDictionary, ModelMakerEngine",
                                                      "$values": []
                                                    },
                                                    "NumberFormatOverride": null,
                                                    "HasOpeningBalanceFlag": false,
                                                    "OpeningBalanceFlagAppliedName": "",
                                                    "Deletable": true,
                                                    "Comment": "",
                                                    "HasSwitchSignLine": false,
                                                    "SwitchSignForReport": false,
                                                    "MultipleInputValues": null,
                                                    "NonPrimaryInput": false,
                                                    "Max": "NaN",
                                                    "Min": "NaN",
                                                    "IsBalanceButNotCorkscrew": false,
                                                    "IsEditable": false,
                                                    "IsConstant": false,
                                                    "UniqueID": "354a2182-c384-4880-be56-72499f88dfdb",
                                                    "Dimensions": {
                                                      "$type": "ModelMakerEngine.MMDimensions, ModelMakerEngine",
                                                      "$values": []
                                                    },
                                                    "EquationOBXInternal": "",
                                                    "NameOfGroup": "Defect",
                                                    "EquationToParse": "",
                                                    "MostRecentExpectedUnitErrors": null,
                                                    "Units": {
                                                      "$ref": "2"
                                                    },
                                                    "Name": "Total Companies",
                                                    "ReportLines": {
                                                      "$type": "ModelMaker.UndoableCollection`1[[ModelMakerEngine.IReportLine, ModelMakerEngine]], ModelMaker.Undo",
                                                      "$values": [
                                                        {
                                                          "$ref": "36"
                                                        }
                                                      ]
                                                    },
                                                    "IsOpeningBalance": false,
                                                    "ExternalLinks": {
                                                      "$type": "UINext.Collections.DeepObservableCollection`1[[ExternalLinks.IExternalDataLink, ExternalLinks]], UINext",
                                                      "$values": []
                                                    },
                                                    "HasUnits": true,
                                                    "UnitsValid": true,
                                                    "UnitsErrorMessage": "",
                                                    "IgnoreUnitIssues": false,
                                                    "IsPlaceholder": false,
                                                    "StandardName": 0,
                                                    "IsStandardNode": false,
                                                    "WarnMessage": null,
                                                    "HasStandardDescription": false,
                                                    "HasStandardName": false,
                                                    "OptimisationNodePair": null,
                                                    "IsOptimisationNode": false,
                                                    "Actuals": null,
                                                    "UDFCode": null,
                                                    "AssociatedOptimisationNodes": null,
                                                    "CustomNamedRange": null,
                                                    "IsRowTotal": false,
                                                    "YPosition": 4,
                                                    "Parent": {
                                                      "$ref": "1"
                                                    },
                                                    "Visible": true,
                                                    "Font": null,
                                                    "AllowIncomingLinks": true,
                                                    "AllowOutgoingLinks": true,
                                                    "IncomingLinks": {
                                                      "$type": "System.Collections.ObjectModel.Collection`1[[ModelMaker.MMLink, ModelMaker]], mscorlib",
                                                      "$values": []
                                                    },
                                                    "OutgoingLinks": {
                                                      "$type": "System.Collections.ObjectModel.Collection`1[[ModelMaker.MMLink, ModelMaker]], mscorlib",
                                                      "$values": []
                                                    },
                                                    "Issues": null
                                                  },
                                                  "OpeningBalanceFlagAppliedName": "",
                                                  "SumOfAboveIncludesPreviousTotal": false,
                                                  "LastNameUsed": null,
                                                  "SwitchSignForReport": false,
                                                  "IsSumOfAbove": true,
                                                  "ParentReport": {
                                                    "$ref": "13"
                                                  },
                                                  "HeadingLevel": 0,
                                                  "ReportFormatName": null,
                                                  "YPosition": -1,
                                                  "Visible": true,
                                                  "Font": null,
                                                  "AllowIncomingLinks": true,
                                                  "AllowOutgoingLinks": true,
                                                  "Deletable": true,
                                                  "Issues": null
                                                },
                                                {
                                                  "$ref": "12"
                                                },
                                                {
                                                  "$id": "38",
                                                  "$type": "ModelMaker.ReportLine, ModelMaker",
                                                  "AssociatedSchematicNode": {
                                                    "$id": "39",
                                                    "$type": "ModelMaker.StockNode, ModelMaker",
                                                    "OpeningOrActualsName": "",
                                                    "InFlows": {
                                                      "$type": "System.Collections.Generic.List`1[[ModelMakerEngine.IEquationNode, ModelMakerEngine]], mscorlib",
                                                      "$values": [
                                                        {
                                                          "$id": "40",
                                                          "$type": "ModelMaker.VariableNode, ModelMaker",
                                                          "RowTotalDependent": null,
                                                          "PutCalculationOnReport": false,
                                                          "CalculateOnThisReport": null,
                                                          "PivotTableLink": null,
                                                          "ExcelNameName": null,
                                                          "ExcelNameNames": {
                                                            "$type": "ModelMakerEngine.ExcelNameDictionary, ModelMakerEngine",
                                                            "$values": []
                                                          },
                                                          "NumberFormatOverride": "Currency",
                                                          "HasOpeningBalanceFlag": false,
                                                          "OpeningBalanceFlagAppliedName": "",
                                                          "Deletable": true,
                                                          "Comment": "",
                                                          "HasSwitchSignLine": false,
                                                          "SwitchSignForReport": false,
                                                          "MultipleInputValues": null,
                                                          "NonPrimaryInput": false,
                                                          "Max": "NaN",
                                                          "Min": "NaN",
                                                          "IsBalanceButNotCorkscrew": false,
                                                          "IsEditable": true,
                                                          "IsConstant": false,
                                                          "UniqueID": "55e38ffa-4a8f-40f7-81fa-3b25e5bf930d",
                                                          "Dimensions": {
                                                            "$type": "ModelMakerEngine.MMDimensions, ModelMakerEngine",
                                                            "$values": []
                                                          },
                                                          "EquationOBXInternal": "[Remaing Companies]*[New Company Loan Note]",
                                                          "NameOfGroup": "Cohort Structure.Loan",
                                                          "EquationToParse": "[Remaing Companies]*[New Company Loan Note]",
                                                          "MostRecentExpectedUnitErrors": null,
                                                          "Units": {
                                                            "$id": "41",
                                                            "$type": "ModelMaker.Unit, ModelMaker",
                                                            "NumberFormatOverride": null,
                                                            "MatchAnything": false,
                                                            "ExternalRepresentation": "GBP",
                                                            "ItemsOnTop": {
                                                              "$type": "System.Collections.Generic.List`1[[System.String, mscorlib]], mscorlib",
                                                              "$values": [
                                                                "GBP"
                                                              ]
                                                            },
                                                            "ItemsOnBottom": {
                                                              "$type": "System.Collections.Generic.List`1[[System.String, mscorlib]], mscorlib",
                                                              "$values": []
                                                            },
                                                            "IsCurrency": false,
                                                            "ContainsSMU": false,
                                                            "IsDimensionless": false,
                                                            "InsertRowTotal": true,
                                                            "IgnoreWhenDeterminingExpectedUnits": false
                                                          },
                                                          "Name": "Drawdowns",
                                                          "ReportLines": {
                                                            "$type": "ModelMaker.UndoableCollection`1[[ModelMakerEngine.IReportLine, ModelMakerEngine]], ModelMaker.Undo",
                                                            "$values": []
                                                          },
                                                          "IsOpeningBalance": false,
                                                          "ExternalLinks": {
                                                            "$type": "UINext.Collections.DeepObservableCollection`1[[ExternalLinks.IExternalDataLink, ExternalLinks]], UINext",
                                                            "$values": []
                                                          },
                                                          "HasUnits": true,
                                                          "UnitsValid": true,
                                                          "UnitsErrorMessage": "",
                                                          "IgnoreUnitIssues": true,
                                                          "IsPlaceholder": false,
                                                          "StandardName": 0,
                                                          "IsStandardNode": false,
                                                          "WarnMessage": null,
                                                          "HasStandardDescription": false,
                                                          "HasStandardName": false,
                                                          "OptimisationNodePair": null,
                                                          "IsOptimisationNode": false,
                                                          "Actuals": null,
                                                          "UDFCode": null,
                                                          "AssociatedOptimisationNodes": null,
                                                          "CustomNamedRange": null,
                                                          "IsRowTotal": false,
                                                          "YPosition": 0,
                                                          "Parent": {
                                                            "$ref": "1"
                                                          },
                                                          "Visible": true,
                                                          "Font": null,
                                                          "AllowIncomingLinks": true,
                                                          "AllowOutgoingLinks": true,
                                                          "IncomingLinks": {
                                                            "$type": "System.Collections.ObjectModel.Collection`1[[ModelMaker.MMLink, ModelMaker]], mscorlib",
                                                            "$values": []
                                                          },
                                                          "OutgoingLinks": {
                                                            "$type": "System.Collections.ObjectModel.Collection`1[[ModelMaker.MMLink, ModelMaker]], mscorlib",
                                                            "$values": []
                                                          },
                                                          "Issues": null
                                                        }
                                                      ]
                                                    },
                                                    "OutFlows": {
                                                      "$type": "System.Collections.Generic.List`1[[ModelMakerEngine.IEquationNode, ModelMakerEngine]], mscorlib",
                                                      "$values": []
                                                    },
                                                    "FlagApplied": null,
                                                    "ActualsFlag": null,
                                                    "Name": "Cohort Loan Balance",
                                                    "HasDefaultEquation": false,
                                                    "NonStandardBalanceFormula": false,
                                                    "EquationOBXInternal": "IF([Period number]=0,0,BEG() + [Drawdowns]) ",
                                                    "InitialOpeningVariable": null,
                                                    "Units": {
                                                      "$ref": "2"
                                                    },
                                                    "Visible": true,
                                                    "RowTotalDependent": null,
                                                    "PutCalculationOnReport": false,
                                                    "CalculateOnThisReport": null,
                                                    "PivotTableLink": null,
                                                    "ExcelNameName": "Cohort_Loan_Balance.BEG",
                                                    "ExcelNameNames": {
                                                      "$type": "ModelMakerEngine.ExcelNameDictionary, ModelMakerEngine",
                                                      "$values": []
                                                    },
                                                    "NumberFormatOverride": "Currency",
                                                    "Deletable": true,
                                                    "Comment": "",
                                                    "HasSwitchSignLine": false,
                                                    "SwitchSignForReport": false,
                                                    "MultipleInputValues": null,
                                                    "NonPrimaryInput": false,
                                                    "Max": "NaN",
                                                    "Min": "NaN",
                                                    "IsBalanceButNotCorkscrew": false,
                                                    "IsEditable": true,
                                                    "IsConstant": false,
                                                    "UniqueID": "bcd079e3-89f1-4285-a0e1-9e022666ae16",
                                                    "Dimensions": {
                                                      "$type": "ModelMakerEngine.MMDimensions, ModelMakerEngine",
                                                      "$values": []
                                                    },
                                                    "NameOfGroup": "Cohort Structure.Loan",
                                                    "EquationToParse": "IF([Period number]=0,0,BEG() + [Drawdowns]) ",
                                                    "MostRecentExpectedUnitErrors": null,
                                                    "ReportLines": {
                                                      "$type": "ModelMaker.UndoableCollection`1[[ModelMakerEngine.IReportLine, ModelMakerEngine]], ModelMaker.Undo",
                                                      "$values": [
                                                        {
                                                          "$ref": "38"
                                                        }
                                                      ]
                                                    },
                                                    "IsOpeningBalance": false,
                                                    "ExternalLinks": {
                                                      "$type": "UINext.Collections.DeepObservableCollection`1[[ExternalLinks.IExternalDataLink, ExternalLinks]], UINext",
                                                      "$values": []
                                                    },
                                                    "HasUnits": true,
                                                    "UnitsValid": true,
                                                    "UnitsErrorMessage": "",
                                                    "IgnoreUnitIssues": false,
                                                    "IsPlaceholder": false,
                                                    "StandardName": 0,
                                                    "IsStandardNode": false,
                                                    "WarnMessage": null,
                                                    "HasStandardDescription": false,
                                                    "HasStandardName": false,
                                                    "OptimisationNodePair": null,
                                                    "IsOptimisationNode": false,
                                                    "Actuals": null,
                                                    "UDFCode": null,
                                                    "AssociatedOptimisationNodes": null,
                                                    "CustomNamedRange": null,
                                                    "IsRowTotal": false,
                                                    "YPosition": 1,
                                                    "Parent": {
                                                      "$ref": "1"
                                                    },
                                                    "Font": null,
                                                    "AllowIncomingLinks": true,
                                                    "AllowOutgoingLinks": true,
                                                    "IncomingLinks": {
                                                      "$type": "System.Collections.ObjectModel.Collection`1[[ModelMaker.MMLink, ModelMaker]], mscorlib",
                                                      "$values": []
                                                    },
                                                    "OutgoingLinks": {
                                                      "$type": "System.Collections.ObjectModel.Collection`1[[ModelMaker.MMLink, ModelMaker]], mscorlib",
                                                      "$values": []
                                                    },
                                                    "Issues": null
                                                  },
                                                  "OpeningBalanceFlagAppliedName": "",
                                                  "SumOfAboveIncludesPreviousTotal": false,
                                                  "LastNameUsed": null,
                                                  "SwitchSignForReport": false,
                                                  "IsSumOfAbove": false,
                                                  "ParentReport": {
                                                    "$ref": "13"
                                                  },
                                                  "HeadingLevel": 0,
                                                  "ReportFormatName": null,
                                                  "YPosition": -1,
                                                  "Visible": true,
                                                  "Font": null,
                                                  "AllowIncomingLinks": true,
                                                  "AllowOutgoingLinks": true,
                                                  "Deletable": true,
                                                  "Issues": null
                                                },
                                                {
                                                  "$id": "42",
                                                  "$type": "ModelMaker.ReportLine, ModelMaker",
                                                  "AssociatedSchematicNode": {
                                                    "$id": "43",
                                                    "$type": "ModelMaker.VariableNode, ModelMaker",
                                                    "RowTotalDependent": null,
                                                    "PutCalculationOnReport": false,
                                                    "CalculateOnThisReport": null,
                                                    "PivotTableLink": null,
                                                    "ExcelNameName": "Exit_Value",
                                                    "ExcelNameNames": {
                                                      "$type": "ModelMakerEngine.ExcelNameDictionary, ModelMakerEngine",
                                                      "$values": []
                                                    },
                                                    "NumberFormatOverride": null,
                                                    "HasOpeningBalanceFlag": false,
                                                    "OpeningBalanceFlagAppliedName": "",
                                                    "Deletable": true,
                                                    "Comment": "",
                                                    "HasSwitchSignLine": false,
                                                    "SwitchSignForReport": false,
                                                    "MultipleInputValues": {
                                                      "$type": "System.Collections.Generic.List`1[[ModelMaker.DimensionedArrayValues, ModelMaker]], mscorlib",
                                                      "$values": [
                                                        {
                                                          "$id": "44",
                                                          "$type": "ModelMaker.DimensionedArrayValues, ModelMaker",
                                                          "Elements": {
                                                            "$type": "ModelMakerEngine.MMElements, ModelMakerEngine",
                                                            "$values": []
                                                          },
                                                          "Values": {
                                                            "$type": "System.Collections.Generic.List`1[[System.Object, mscorlib]], mscorlib",
                                                            "$values": [
                                                              "500000",
                                                              "2000000",
                                                              "5000000",
                                                              "10000000",
                                                              "20000000",
                                                              "35000000",
                                                              "50000000",
                                                              "",
                                                              "",
                                                              "",
                                                              ""
                                                            ]
                                                          }
                                                        }
                                                      ]
                                                    },
                                                    "NonPrimaryInput": false,
                                                    "Max": "NaN",
                                                    "Min": "NaN",
                                                    "IsBalanceButNotCorkscrew": false,
                                                    "IsEditable": true,
                                                    "IsConstant": false,
                                                    "UniqueID": "45ea43a6-7115-48d7-879a-0d27da2aecd7",
                                                    "Dimensions": {
                                                      "$type": "ModelMakerEngine.MMDimensions, ModelMakerEngine",
                                                      "$values": []
                                                    },
                                                    "EquationOBXInternal": "{500000,2000000,5000000,10000000,20000000,35000000,50000000,,,,}",
                                                    "NameOfGroup": "Inputs.Company.Exit",
                                                    "EquationToParse": "{500000,2000000,5000000,10000000,20000000,35000000,50000000,,,,}",
                                                    "MostRecentExpectedUnitErrors": null,
                                                    "Units": {
                                                      "$ref": "2"
                                                    },
                                                    "Name": "Exit Value",
                                                    "ReportLines": {
                                                      "$type": "ModelMaker.UndoableCollection`1[[ModelMakerEngine.IReportLine, ModelMakerEngine]], ModelMaker.Undo",
                                                      "$values": [
                                                        {
                                                          "$ref": "42"
                                                        }
                                                      ]
                                                    },
                                                    "IsOpeningBalance": false,
                                                    "ExternalLinks": {
                                                      "$type": "UINext.Collections.DeepObservableCollection`1[[ExternalLinks.IExternalDataLink, ExternalLinks]], UINext",
                                                      "$values": []
                                                    },
                                                    "HasUnits": true,
                                                    "UnitsValid": true,
                                                    "UnitsErrorMessage": "",
                                                    "IgnoreUnitIssues": false,
                                                    "IsPlaceholder": false,
                                                    "StandardName": 0,
                                                    "IsStandardNode": false,
                                                    "WarnMessage": null,
                                                    "HasStandardDescription": false,
                                                    "HasStandardName": false,
                                                    "OptimisationNodePair": null,
                                                    "IsOptimisationNode": false,
                                                    "Actuals": null,
                                                    "UDFCode": null,
                                                    "AssociatedOptimisationNodes": null,
                                                    "CustomNamedRange": null,
                                                    "IsRowTotal": false,
                                                    "YPosition": 0,
                                                    "Parent": {
                                                      "$ref": "1"
                                                    },
                                                    "Visible": true,
                                                    "Font": null,
                                                    "AllowIncomingLinks": true,
                                                    "AllowOutgoingLinks": true,
                                                    "IncomingLinks": {
                                                      "$type": "System.Collections.ObjectModel.Collection`1[[ModelMaker.MMLink, ModelMaker]], mscorlib",
                                                      "$values": []
                                                    },
                                                    "OutgoingLinks": {
                                                      "$type": "System.Collections.ObjectModel.Collection`1[[ModelMaker.MMLink, ModelMaker]], mscorlib",
                                                      "$values": []
                                                    },
                                                    "Issues": null
                                                  },
                                                  "OpeningBalanceFlagAppliedName": "",
                                                  "SumOfAboveIncludesPreviousTotal": false,
                                                  "LastNameUsed": null,
                                                  "SwitchSignForReport": false,
                                                  "IsSumOfAbove": false,
                                                  "ParentReport": {
                                                    "$ref": "13"
                                                  },
                                                  "HeadingLevel": 0,
                                                  "ReportFormatName": null,
                                                  "YPosition": -1,
                                                  "Visible": true,
                                                  "Font": null,
                                                  "AllowIncomingLinks": true,
                                                  "AllowOutgoingLinks": true,
                                                  "Deletable": true,
                                                  "Issues": null
                                                },
                                                {
                                                  "$id": "45",
                                                  "$type": "ModelMaker.ReportLine, ModelMaker",
                                                  "AssociatedSchematicNode": {
                                                    "$id": "46",
                                                    "$type": "ModelMaker.StockNode, ModelMaker",
                                                    "OpeningOrActualsName": "",
                                                    "InFlows": {
                                                      "$type": "System.Collections.Generic.List`1[[ModelMakerEngine.IEquationNode, ModelMakerEngine]], mscorlib",
                                                      "$values": [
                                                        {
                                                          "$id": "47",
                                                          "$type": "ModelMaker.VariableNode, ModelMaker",
                                                          "RowTotalDependent": null,
                                                          "PutCalculationOnReport": false,
                                                          "CalculateOnThisReport": null,
                                                          "PivotTableLink": null,
                                                          "ExcelNameName": null,
                                                          "ExcelNameNames": {
                                                            "$type": "ModelMakerEngine.ExcelNameDictionary, ModelMakerEngine",
                                                            "$values": []
                                                          },
                                                          "NumberFormatOverride": "Currency",
                                                          "HasOpeningBalanceFlag": false,
                                                          "OpeningBalanceFlagAppliedName": "",
                                                          "Deletable": true,
                                                          "Comment": "",
                                                          "HasSwitchSignLine": false,
                                                          "SwitchSignForReport": false,
                                                          "MultipleInputValues": null,
                                                          "NonPrimaryInput": false,
                                                          "Max": "NaN",
                                                          "Min": "NaN",
                                                          "IsBalanceButNotCorkscrew": false,
                                                          "IsEditable": true,
                                                          "IsConstant": false,
                                                          "UniqueID": "951b0d9c-2abc-4243-8723-10a1bee68d47",
                                                          "Dimensions": {
                                                            "$type": "ModelMakerEngine.MMDimensions, ModelMakerEngine",
                                                            "$values": []
                                                          },
                                                          "EquationOBXInternal": "[Exits]*([Loan and Redemption Premium Repayment]+[Proceeds to Investor Cofounder])",
                                                          "NameOfGroup": "Cohort Structure.Returns",
                                                          "EquationToParse": "[Exits]*([Loan and Redemption Premium Repayment]+[Proceeds to Investor Cofounder])",
                                                          "MostRecentExpectedUnitErrors": null,
                                                          "Units": {
                                                            "$id": "48",
                                                            "$type": "ModelMaker.Unit, ModelMaker",
                                                            "NumberFormatOverride": null,
                                                            "MatchAnything": false,
                                                            "ExternalRepresentation": "GBP",
                                                            "ItemsOnTop": {
                                                              "$type": "System.Collections.Generic.List`1[[System.String, mscorlib]], mscorlib",
                                                              "$values": [
                                                                "GBP"
                                                              ]
                                                            },
                                                            "ItemsOnBottom": {
                                                              "$type": "System.Collections.Generic.List`1[[System.String, mscorlib]], mscorlib",
                                                              "$values": []
                                                            },
                                                            "IsCurrency": false,
                                                            "ContainsSMU": false,
                                                            "IsDimensionless": false,
                                                            "InsertRowTotal": true,
                                                            "IgnoreWhenDeterminingExpectedUnits": false
                                                          },
                                                          "Name": "Investor Cofounder Return",
                                                          "ReportLines": {
                                                            "$type": "ModelMaker.UndoableCollection`1[[ModelMakerEngine.IReportLine, ModelMakerEngine]], ModelMaker.Undo",
                                                            "$values": []
                                                          },
                                                          "IsOpeningBalance": false,
                                                          "ExternalLinks": {
                                                            "$type": "UINext.Collections.DeepObservableCollection`1[[ExternalLinks.IExternalDataLink, ExternalLinks]], UINext",
                                                            "$values": []
                                                          },
                                                          "HasUnits": true,
                                                          "UnitsValid": true,
                                                          "UnitsErrorMessage": "",
                                                          "IgnoreUnitIssues": true,
                                                          "IsPlaceholder": false,
                                                          "StandardName": 0,
                                                          "IsStandardNode": false,
                                                          "WarnMessage": null,
                                                          "HasStandardDescription": false,
                                                          "HasStandardName": false,
                                                          "OptimisationNodePair": null,
                                                          "IsOptimisationNode": false,
                                                          "Actuals": null,
                                                          "UDFCode": null,
                                                          "AssociatedOptimisationNodes": null,
                                                          "CustomNamedRange": null,
                                                          "IsRowTotal": false,
                                                          "YPosition": 0,
                                                          "Parent": {
                                                            "$ref": "1"
                                                          },
                                                          "Visible": true,
                                                          "Font": null,
                                                          "AllowIncomingLinks": true,
                                                          "AllowOutgoingLinks": true,
                                                          "IncomingLinks": {
                                                            "$type": "System.Collections.ObjectModel.Collection`1[[ModelMaker.MMLink, ModelMaker]], mscorlib",
                                                            "$values": []
                                                          },
                                                          "OutgoingLinks": {
                                                            "$type": "System.Collections.ObjectModel.Collection`1[[ModelMaker.MMLink, ModelMaker]], mscorlib",
                                                            "$values": []
                                                          },
                                                          "Issues": null
                                                        }
                                                      ]
                                                    },
                                                    "OutFlows": {
                                                      "$type": "System.Collections.Generic.List`1[[ModelMakerEngine.IEquationNode, ModelMakerEngine]], mscorlib",
                                                      "$values": []
                                                    },
                                                    "FlagApplied": null,
                                                    "ActualsFlag": null,
                                                    "Name": "Total Investor Cofounder Return",
                                                    "HasDefaultEquation": false,
                                                    "NonStandardBalanceFormula": false,
                                                    "EquationOBXInternal": "IF([Period number]=0,0,BEG() + [Investor Cofounder Return] ) ",
                                                    "InitialOpeningVariable": null,
                                                    "Units": {
                                                      "$ref": "2"
                                                    },
                                                    "Visible": true,
                                                    "RowTotalDependent": null,
                                                    "PutCalculationOnReport": false,
                                                    "CalculateOnThisReport": null,
                                                    "PivotTableLink": null,
                                                    "ExcelNameName": "Total_Investor_Cofounder_Return.BEG",
                                                    "ExcelNameNames": {
                                                      "$type": "ModelMakerEngine.ExcelNameDictionary, ModelMakerEngine",
                                                      "$values": []
                                                    },
                                                    "NumberFormatOverride": "Currency",
                                                    "Deletable": true,
                                                    "Comment": "",
                                                    "HasSwitchSignLine": false,
                                                    "SwitchSignForReport": false,
                                                    "MultipleInputValues": null,
                                                    "NonPrimaryInput": false,
                                                    "Max": "NaN",
                                                    "Min": "NaN",
                                                    "IsBalanceButNotCorkscrew": false,
                                                    "IsEditable": true,
                                                    "IsConstant": false,
                                                    "UniqueID": "c3c256b8-d4f6-47ab-b0d4-f0d89e49263c",
                                                    "Dimensions": {
                                                      "$type": "ModelMakerEngine.MMDimensions, ModelMakerEngine",
                                                      "$values": []
                                                    },
                                                    "NameOfGroup": "Cohort Structure.Returns",
                                                    "EquationToParse": "IF([Period number]=0,0,BEG() + [Investor Cofounder Return] ) ",
                                                    "MostRecentExpectedUnitErrors": null,
                                                    "ReportLines": {
                                                      "$type": "ModelMaker.UndoableCollection`1[[ModelMakerEngine.IReportLine, ModelMakerEngine]], ModelMaker.Undo",
                                                      "$values": [
                                                        {
                                                          "$ref": "45"
                                                        }
                                                      ]
                                                    },
                                                    "IsOpeningBalance": false,
                                                    "ExternalLinks": {
                                                      "$type": "UINext.Collections.DeepObservableCollection`1[[ExternalLinks.IExternalDataLink, ExternalLinks]], UINext",
                                                      "$values": []
                                                    },
                                                    "HasUnits": true,
                                                    "UnitsValid": true,
                                                    "UnitsErrorMessage": "",
                                                    "IgnoreUnitIssues": false,
                                                    "IsPlaceholder": false,
                                                    "StandardName": 0,
                                                    "IsStandardNode": false,
                                                    "WarnMessage": null,
                                                    "HasStandardDescription": false,
                                                    "HasStandardName": false,
                                                    "OptimisationNodePair": null,
                                                    "IsOptimisationNode": false,
                                                    "Actuals": null,
                                                    "UDFCode": null,
                                                    "AssociatedOptimisationNodes": null,
                                                    "CustomNamedRange": null,
                                                    "IsRowTotal": false,
                                                    "YPosition": 1,
                                                    "Parent": {
                                                      "$ref": "1"
                                                    },
                                                    "Font": null,
                                                    "AllowIncomingLinks": true,
                                                    "AllowOutgoingLinks": true,
                                                    "IncomingLinks": {
                                                      "$type": "System.Collections.ObjectModel.Collection`1[[ModelMaker.MMLink, ModelMaker]], mscorlib",
                                                      "$values": []
                                                    },
                                                    "OutgoingLinks": {
                                                      "$type": "System.Collections.ObjectModel.Collection`1[[ModelMaker.MMLink, ModelMaker]], mscorlib",
                                                      "$values": []
                                                    },
                                                    "Issues": null
                                                  },
                                                  "OpeningBalanceFlagAppliedName": "",
                                                  "SumOfAboveIncludesPreviousTotal": false,
                                                  "LastNameUsed": null,
                                                  "SwitchSignForReport": false,
                                                  "IsSumOfAbove": false,
                                                  "ParentReport": {
                                                    "$ref": "13"
                                                  },
                                                  "HeadingLevel": 0,
                                                  "ReportFormatName": null,
                                                  "YPosition": -1,
                                                  "Visible": true,
                                                  "Font": null,
                                                  "AllowIncomingLinks": true,
                                                  "AllowOutgoingLinks": true,
                                                  "Deletable": true,
                                                  "Issues": null
                                                },
                                                {
                                                  "$id": "49",
                                                  "$type": "ModelMaker.ReportLine, ModelMaker",
                                                  "AssociatedSchematicNode": {
                                                    "$id": "50",
                                                    "$type": "ModelMaker.VariableNode, ModelMaker",
                                                    "RowTotalDependent": null,
                                                    "PutCalculationOnReport": false,
                                                    "CalculateOnThisReport": null,
                                                    "PivotTableLink": null,
                                                    "ExcelNameName": "DPI",
                                                    "ExcelNameNames": {
                                                      "$type": "ModelMakerEngine.ExcelNameDictionary, ModelMakerEngine",
                                                      "$values": []
                                                    },
                                                    "NumberFormatOverride": "General",
                                                    "HasOpeningBalanceFlag": false,
                                                    "OpeningBalanceFlagAppliedName": "",
                                                    "Deletable": true,
                                                    "Comment": "",
                                                    "HasSwitchSignLine": false,
                                                    "SwitchSignForReport": false,
                                                    "MultipleInputValues": null,
                                                    "NonPrimaryInput": false,
                                                    "Max": "NaN",
                                                    "Min": "NaN",
                                                    "IsBalanceButNotCorkscrew": false,
                                                    "IsEditable": true,
                                                    "IsConstant": false,
                                                    "UniqueID": "9e3a0634-cdda-440a-a26d-d48bd8047bbc",
                                                    "Dimensions": {
                                                      "$type": "ModelMakerEngine.MMDimensions, ModelMakerEngine",
                                                      "$values": []
                                                    },
                                                    "EquationOBXInternal": "IF([Total Investor Cofounder Return] > 0 ,[Total Investor Cofounder Return] / [Cohort Loan Balance] , 0)",
                                                    "NameOfGroup": "Cohort Structure.Metrics",
                                                    "EquationToParse": "IF([Total Investor Cofounder Return] > 0 ,[Total Investor Cofounder Return] / [Cohort Loan Balance] , 0)",
                                                    "MostRecentExpectedUnitErrors": null,
                                                    "Units": {
                                                      "$id": "51",
                                                      "$type": "ModelMaker.Unit, ModelMaker",
                                                      "NumberFormatOverride": null,
                                                      "MatchAnything": false,
                                                      "ExternalRepresentation": "Ratio",
                                                      "ItemsOnTop": {
                                                        "$type": "System.Collections.Generic.List`1[[System.String, mscorlib]], mscorlib",
                                                        "$values": [
                                                          "Ratio"
                                                        ]
                                                      },
                                                      "ItemsOnBottom": {
                                                        "$type": "System.Collections.Generic.List`1[[System.String, mscorlib]], mscorlib",
                                                        "$values": []
                                                      },
                                                      "IsCurrency": false,
                                                      "ContainsSMU": false,
                                                      "IsDimensionless": false,
                                                      "InsertRowTotal": true,
                                                      "IgnoreWhenDeterminingExpectedUnits": false
                                                    },
                                                    "Name": "DPI",
                                                    "ReportLines": {
                                                      "$type": "ModelMaker.UndoableCollection`1[[ModelMakerEngine.IReportLine, ModelMakerEngine]], ModelMaker.Undo",
                                                      "$values": [
                                                        {
                                                          "$ref": "49"
                                                        }
                                                      ]
                                                    },
                                                    "IsOpeningBalance": false,
                                                    "ExternalLinks": {
                                                      "$type": "UINext.Collections.DeepObservableCollection`1[[ExternalLinks.IExternalDataLink, ExternalLinks]], UINext",
                                                      "$values": []
                                                    },
                                                    "HasUnits": true,
                                                    "UnitsValid": true,
                                                    "UnitsErrorMessage": "",
                                                    "IgnoreUnitIssues": true,
                                                    "IsPlaceholder": false,
                                                    "StandardName": 0,
                                                    "IsStandardNode": false,
                                                    "WarnMessage": null,
                                                    "HasStandardDescription": false,
                                                    "HasStandardName": false,
                                                    "OptimisationNodePair": null,
                                                    "IsOptimisationNode": false,
                                                    "Actuals": null,
                                                    "UDFCode": null,
                                                    "AssociatedOptimisationNodes": null,
                                                    "CustomNamedRange": null,
                                                    "IsRowTotal": false,
                                                    "YPosition": 0,
                                                    "Parent": {
                                                      "$ref": "1"
                                                    },
                                                    "Visible": true,
                                                    "Font": null,
                                                    "AllowIncomingLinks": true,
                                                    "AllowOutgoingLinks": true,
                                                    "IncomingLinks": {
                                                      "$type": "System.Collections.ObjectModel.Collection`1[[ModelMaker.MMLink, ModelMaker]], mscorlib",
                                                      "$values": []
                                                    },
                                                    "OutgoingLinks": {
                                                      "$type": "System.Collections.ObjectModel.Collection`1[[ModelMaker.MMLink, ModelMaker]], mscorlib",
                                                      "$values": []
                                                    },
                                                    "Issues": null
                                                  },
                                                  "OpeningBalanceFlagAppliedName": "",
                                                  "SumOfAboveIncludesPreviousTotal": false,
                                                  "LastNameUsed": null,
                                                  "SwitchSignForReport": false,
                                                  "IsSumOfAbove": false,
                                                  "ParentReport": {
                                                    "$ref": "13"
                                                  },
                                                  "HeadingLevel": 0,
                                                  "ReportFormatName": null,
                                                  "YPosition": -1,
                                                  "Visible": true,
                                                  "Font": null,
                                                  "AllowIncomingLinks": true,
                                                  "AllowOutgoingLinks": true,
                                                  "Deletable": true,
                                                  "Issues": null
                                                }
                                              ]
                                            },
                                            "ReportLines": {
                                              "$type": "ModelMaker.UndoableCollection`1[[ModelMakerEngine.IReportLine, ModelMakerEngine]], ModelMaker.Undo",
                                              "$values": [
                                                {
                                                  "$id": "52",
                                                  "$type": "ModelMaker.Header, ModelMaker",
                                                  "HeadingLevel": 0,
                                                  "Name": "Progression",
                                                  "UnNegatedName": "Progression",
                                                  "ParentReport": {
                                                    "$ref": "13"
                                                  },
                                                  "Visible": true,
                                                  "ReportFormatName": "",
                                                  "IsNegatable": false,
                                                  "LastNameUsed": "Progression"
                                                },
                                                {
                                                  "$ref": "15"
                                                },
                                                {
                                                  "$ref": "19"
                                                },
                                                {
                                                  "$ref": "23"
                                                },
                                                {
                                                  "$id": "53",
                                                  "$type": "ModelMaker.Header, ModelMaker",
                                                  "HeadingLevel": 0,
                                                  "Name": "Companies",
                                                  "UnNegatedName": "Companies",
                                                  "ParentReport": {
                                                    "$ref": "13"
                                                  },
                                                  "Visible": true,
                                                  "ReportFormatName": "",
                                                  "IsNegatable": false,
                                                  "LastNameUsed": "Companies"
                                                },
                                                {
                                                  "$ref": "26"
                                                },
                                                {
                                                  "$ref": "32"
                                                },
                                                {
                                                  "$ref": "34"
                                                },
                                                {
                                                  "$ref": "36"
                                                },
                                                {
                                                  "$id": "54",
                                                  "$type": "ModelMaker.Header, ModelMaker",
                                                  "HeadingLevel": 0,
                                                  "Name": "Loans",
                                                  "UnNegatedName": "Loans",
                                                  "ParentReport": {
                                                    "$ref": "13"
                                                  },
                                                  "Visible": true,
                                                  "ReportFormatName": "",
                                                  "IsNegatable": false,
                                                  "LastNameUsed": "Loans"
                                                },
                                                {
                                                  "$ref": "12"
                                                },
                                                {
                                                  "$ref": "38"
                                                },
                                                {
                                                  "$id": "55",
                                                  "$type": "ModelMaker.Header, ModelMaker",
                                                  "HeadingLevel": 0,
                                                  "Name": "Returns",
                                                  "UnNegatedName": "Returns",
                                                  "ParentReport": {
                                                    "$ref": "13"
                                                  },
                                                  "Visible": true,
                                                  "ReportFormatName": "",
                                                  "IsNegatable": false,
                                                  "LastNameUsed": "Returns"
                                                },
                                                {
                                                  "$ref": "42"
                                                },
                                                {
                                                  "$ref": "45"
                                                },
                                                {
                                                  "$id": "56",
                                                  "$type": "ModelMaker.Header, ModelMaker",
                                                  "HeadingLevel": 0,
                                                  "Name": "Metrics",
                                                  "UnNegatedName": "Metrics",
                                                  "ParentReport": {
                                                    "$ref": "13"
                                                  },
                                                  "Visible": true,
                                                  "ReportFormatName": "",
                                                  "IsNegatable": false,
                                                  "LastNameUsed": "Metrics"
                                                },
                                                {
                                                  "$ref": "49"
                                                }
                                              ]
                                            },
                                            "AllowIncomingLinks": false,
                                            "AllowOutgoingLinks": false,
                                            "YPosition": -1,
                                            "Name": "Cohort Report",
                                            "Parent": {
                                              "$ref": "1"
                                            },
                                            "Visible": true,
                                            "ToolTip": "",
                                            "OpeningBalanceFlagAppliedName": "",
                                            "Font": null,
                                            "IncomingLinks": {
                                              "$type": "System.Collections.ObjectModel.Collection`1[[ModelMaker.MMLink, ModelMaker]], mscorlib",
                                              "$values": []
                                            },
                                            "OutgoingLinks": {
                                              "$type": "System.Collections.ObjectModel.Collection`1[[ModelMaker.MMLink, ModelMaker]], mscorlib",
                                              "$values": []
                                            },
                                            "Deletable": true,
                                            "Issues": null
                                          },
                                          "HeadingLevel": 0,
                                          "ReportFormatName": null,
                                          "YPosition": -1,
                                          "Visible": true,
                                          "Font": null,
                                          "AllowIncomingLinks": true,
                                          "AllowOutgoingLinks": true,
                                          "Deletable": true,
                                          "Issues": null
                                        }
                                      ]
                                    },
                                    "IsOpeningBalance": false,
                                    "ExternalLinks": {
                                      "$type": "UINext.Collections.DeepObservableCollection`1[[ExternalLinks.IExternalDataLink, ExternalLinks]], UINext",
                                      "$values": []
                                    },
                                    "HasUnits": true,
                                    "UnitsValid": true,
                                    "UnitsErrorMessage": "",
                                    "IgnoreUnitIssues": false,
                                    "IsPlaceholder": false,
                                    "StandardName": 0,
                                    "IsStandardNode": false,
                                    "WarnMessage": null,
                                    "HasStandardDescription": false,
                                    "HasStandardName": false,
                                    "OptimisationNodePair": null,
                                    "IsOptimisationNode": false,
                                    "Actuals": null,
                                    "UDFCode": null,
                                    "AssociatedOptimisationNodes": null,
                                    "CustomNamedRange": null,
                                    "IsRowTotal": false,
                                    "YPosition": 1,
                                    "Parent": {
                                      "$ref": "1"
                                    },
                                    "Visible": true,
                                    "Font": null,
                                    "AllowIncomingLinks": true,
                                    "AllowOutgoingLinks": true,
                                    "IncomingLinks": {
                                      "$type": "System.Collections.ObjectModel.Collection`1[[ModelMaker.MMLink, ModelMaker]], mscorlib",
                                      "$values": []
                                    },
                                    "OutgoingLinks": {
                                      "$type": "System.Collections.ObjectModel.Collection`1[[ModelMaker.MMLink, ModelMaker]], mscorlib",
                                      "$values": []
                                    },
                                    "Issues": null
                                  }
                                ]
                              },
                              "OutFlows": {
                                "$type": "System.Collections.Generic.List`1[[ModelMakerEngine.IEquationNode, ModelMakerEngine]], mscorlib",
                                "$values": []
                              },
                              "FlagApplied": null,
                              "ActualsFlag": null,
                              "Name": "Loan Note",
                              "HasDefaultEquation": false,
                              "NonStandardBalanceFormula": false,
                              "EquationOBXInternal": "IF([Period number]=0,[Opening Loan Note],BEG()+ [New Company Loan Note] ) ",
                              "InitialOpeningVariable": null,
                              "Units": {
                                "$ref": "2"
                              },
                              "Visible": true,
                              "RowTotalDependent": null,
                              "PutCalculationOnReport": false,
                              "CalculateOnThisReport": null,
                              "PivotTableLink": null,
                              "ExcelNameName": "Loan_Note.BEG",
                              "ExcelNameNames": {
                                "$type": "ModelMakerEngine.ExcelNameDictionary, ModelMakerEngine",
                                "$values": []
                              },
                              "NumberFormatOverride": null,
                              "Deletable": true,
                              "Comment": "",
                              "HasSwitchSignLine": false,
                              "SwitchSignForReport": false,
                              "MultipleInputValues": null,
                              "NonPrimaryInput": false,
                              "Max": "NaN",
                              "Min": "NaN",
                              "IsBalanceButNotCorkscrew": false,
                              "IsEditable": true,
                              "IsConstant": false,
                              "UniqueID": "9dc75b51-1259-476d-b5c2-ba6d1f978006",
                              "Dimensions": {
                                "$type": "ModelMakerEngine.MMDimensions, ModelMakerEngine",
                                "$values": []
                              },
                              "NameOfGroup": "Capital.Debt",
                              "EquationToParse": "IF([Period number]=0,[Opening Loan Note],BEG()+ [New Company Loan Note] ) ",
                              "MostRecentExpectedUnitErrors": null,
                              "ReportLines": {
                                "$type": "ModelMaker.UndoableCollection`1[[ModelMakerEngine.IReportLine, ModelMakerEngine]], ModelMaker.Undo",
                                "$values": [
                                  {
                                    "$ref": "8"
                                  }
                                ]
                              },
                              "IsOpeningBalance": false,
                              "ExternalLinks": {
                                "$type": "UINext.Collections.DeepObservableCollection`1[[ExternalLinks.IExternalDataLink, ExternalLinks]], UINext",
                                "$values": []
                              },
                              "HasUnits": true,
                              "UnitsValid": true,
                              "UnitsErrorMessage": "",
                              "IgnoreUnitIssues": false,
                              "IsPlaceholder": false,
                              "StandardName": 0,
                              "IsStandardNode": false,
                              "WarnMessage": null,
                              "HasStandardDescription": false,
                              "HasStandardName": false,
                              "OptimisationNodePair": null,
                              "IsOptimisationNode": false,
                              "Actuals": null,
                              "UDFCode": null,
                              "AssociatedOptimisationNodes": null,
                              "CustomNamedRange": null,
                              "IsRowTotal": false,
                              "YPosition": 0,
                              "Parent": {
                                "$ref": "1"
                              },
                              "Font": null,
                              "AllowIncomingLinks": true,
                              "AllowOutgoingLinks": true,
                              "IncomingLinks": {
                                "$type": "System.Collections.ObjectModel.Collection`1[[ModelMaker.MMLink, ModelMaker]], mscorlib",
                                "$values": []
                              },
                              "OutgoingLinks": {
                                "$type": "System.Collections.ObjectModel.Collection`1[[ModelMaker.MMLink, ModelMaker]], mscorlib",
                                "$values": []
                              },
                              "Issues": null
                            },
                            "OpeningBalanceFlagAppliedName": "",
                            "SumOfAboveIncludesPreviousTotal": false,
                            "LastNameUsed": null,
                            "SwitchSignForReport": false,
                            "IsSumOfAbove": false,
                            "ParentReport": {
                              "$ref": "6"
                            },
                            "HeadingLevel": 0,
                            "ReportFormatName": null,
                            "YPosition": -1,
                            "Visible": true,
                            "Font": null,
                            "AllowIncomingLinks": true,
                            "AllowOutgoingLinks": true,
                            "Deletable": true,
                            "Issues": null
                          },
                          {
                            "$id": "57",
                            "$type": "ModelMaker.ReportLine, ModelMaker",
                            "AssociatedSchematicNode": {
                              "$id": "58",
                              "$type": "ModelMaker.StockNode, ModelMaker",
                              "OpeningOrActualsName": "",
                              "InFlows": {
                                "$type": "System.Collections.Generic.List`1[[ModelMakerEngine.IEquationNode, ModelMakerEngine]], mscorlib",
                                "$values": [
                                  {
                                    "$id": "59",
                                    "$type": "ModelMaker.VariableNode, ModelMaker",
                                    "RowTotalDependent": null,
                                    "PutCalculationOnReport": false,
                                    "CalculateOnThisReport": null,
                                    "PivotTableLink": null,
                                    "ExcelNameName": null,
                                    "ExcelNameNames": {
                                      "$type": "ModelMakerEngine.ExcelNameDictionary, ModelMakerEngine",
                                      "$values": []
                                    },
                                    "NumberFormatOverride": null,
                                    "HasOpeningBalanceFlag": false,
                                    "OpeningBalanceFlagAppliedName": "",
                                    "Deletable": true,
                                    "Comment": "",
                                    "HasSwitchSignLine": false,
                                    "SwitchSignForReport": false,
                                    "MultipleInputValues": null,
                                    "NonPrimaryInput": false,
                                    "Max": "NaN",
                                    "Min": "NaN",
                                    "IsBalanceButNotCorkscrew": false,
                                    "IsEditable": true,
                                    "IsConstant": false,
                                    "UniqueID": "b6e72b12-54b8-4cb1-b1db-9436ae58c781",
                                    "Dimensions": {
                                      "$type": "ModelMakerEngine.MMDimensions, ModelMakerEngine",
                                      "$values": []
                                    },
                                    "EquationOBXInternal": "IF( [Total New Capital Raised From Equity] > 0, [New Capital From Sector Cofounder]/[Price per Share],0)",
                                    "NameOfGroup": "Inputs.New Equity",
                                    "EquationToParse": "IF( [Total New Capital Raised From Equity] > 0, [New Capital From Sector Cofounder]/[Price per Share],0)",
                                    "MostRecentExpectedUnitErrors": null,
                                    "Units": {
                                      "$id": "60",
                                      "$type": "ModelMaker.Unit, ModelMaker",
                                      "NumberFormatOverride": null,
                                      "MatchAnything": false,
                                      "ExternalRepresentation": "Shares",
                                      "ItemsOnTop": {
                                        "$type": "System.Collections.Generic.List`1[[System.String, mscorlib]], mscorlib",
                                        "$values": [
                                          "Shares"
                                        ]
                                      },
                                      "ItemsOnBottom": {
                                        "$type": "System.Collections.Generic.List`1[[System.String, mscorlib]], mscorlib",
                                        "$values": []
                                      },
                                      "IsCurrency": false,
                                      "ContainsSMU": false,
                                      "IsDimensionless": false,
                                      "InsertRowTotal": true,
                                      "IgnoreWhenDeterminingExpectedUnits": false
                                    },
                                    "Name": "New Sector Cofounder Shares",
                                    "ReportLines": {
                                      "$type": "ModelMaker.UndoableCollection`1[[ModelMakerEngine.IReportLine, ModelMakerEngine]], ModelMaker.Undo",
                                      "$values": []
                                    },
                                    "IsOpeningBalance": false,
                                    "ExternalLinks": {
                                      "$type": "UINext.Collections.DeepObservableCollection`1[[ExternalLinks.IExternalDataLink, ExternalLinks]], UINext",
                                      "$values": []
                                    },
                                    "HasUnits": true,
                                    "UnitsValid": true,
                                    "UnitsErrorMessage": "",
                                    "IgnoreUnitIssues": true,
                                    "IsPlaceholder": false,
                                    "StandardName": 0,
                                    "IsStandardNode": false,
                                    "WarnMessage": null,
                                    "HasStandardDescription": false,
                                    "HasStandardName": false,
                                    "OptimisationNodePair": null,
                                    "IsOptimisationNode": false,
                                    "Actuals": null,
                                    "UDFCode": null,
                                    "AssociatedOptimisationNodes": null,
                                    "CustomNamedRange": null,
                                    "IsRowTotal": false,
                                    "YPosition": 2,
                                    "Parent": {
                                      "$ref": "1"
                                    },
                                    "Visible": true,
                                    "Font": null,
                                    "AllowIncomingLinks": true,
                                    "AllowOutgoingLinks": true,
                                    "IncomingLinks": {
                                      "$type": "System.Collections.ObjectModel.Collection`1[[ModelMaker.MMLink, ModelMaker]], mscorlib",
                                      "$values": []
                                    },
                                    "OutgoingLinks": {
                                      "$type": "System.Collections.ObjectModel.Collection`1[[ModelMaker.MMLink, ModelMaker]], mscorlib",
                                      "$values": []
                                    },
                                    "Issues": null
                                  }
                                ]
                              },
                              "OutFlows": {
                                "$type": "System.Collections.Generic.List`1[[ModelMakerEngine.IEquationNode, ModelMakerEngine]], mscorlib",
                                "$values": []
                              },
                              "FlagApplied": null,
                              "ActualsFlag": null,
                              "Name": "Sector Cofounder Shares",
                              "HasDefaultEquation": false,
                              "NonStandardBalanceFormula": false,
                              "EquationOBXInternal": "IF([Period number]=0,[Opening Sector Cofounder Shares],BEG() + [New Sector Cofounder Shares]) ",
                              "InitialOpeningVariable": null,
                              "Units": {
                                "$id": "61",
                                "$type": "ModelMaker.Unit, ModelMaker",
                                "NumberFormatOverride": null,
                                "MatchAnything": false,
                                "ExternalRepresentation": "Shares",
                                "ItemsOnTop": {
                                  "$type": "System.Collections.Generic.List`1[[System.String, mscorlib]], mscorlib",
                                  "$values": [
                                    "Shares"
                                  ]
                                },
                                "ItemsOnBottom": {
                                  "$type": "System.Collections.Generic.List`1[[System.String, mscorlib]], mscorlib",
                                  "$values": []
                                },
                                "IsCurrency": false,
                                "ContainsSMU": false,
                                "IsDimensionless": false,
                                "InsertRowTotal": true,
                                "IgnoreWhenDeterminingExpectedUnits": false
                              },
                              "Visible": true,
                              "RowTotalDependent": null,
                              "PutCalculationOnReport": false,
                              "CalculateOnThisReport": null,
                              "PivotTableLink": null,
                              "ExcelNameName": "Sector_Cofounder_Shares.BEG",
                              "ExcelNameNames": {
                                "$type": "ModelMakerEngine.ExcelNameDictionary, ModelMakerEngine",
                                "$values": []
                              },
                              "NumberFormatOverride": null,
                              "Deletable": true,
                              "Comment": "",
                              "HasSwitchSignLine": false,
                              "SwitchSignForReport": false,
                              "MultipleInputValues": null,
                              "NonPrimaryInput": false,
                              "Max": "NaN",
                              "Min": "NaN",
                              "IsBalanceButNotCorkscrew": false,
                              "IsEditable": true,
                              "IsConstant": false,
                              "UniqueID": "3f17c6ef-77f5-445e-a432-cb53c22ceda0",
                              "Dimensions": {
                                "$type": "ModelMakerEngine.MMDimensions, ModelMakerEngine",
                                "$values": []
                              },
                              "NameOfGroup": "Capital.Shares In Issue",
                              "EquationToParse": "IF([Period number]=0,[Opening Sector Cofounder Shares],BEG() + [New Sector Cofounder Shares]) ",
                              "MostRecentExpectedUnitErrors": null,
                              "ReportLines": {
                                "$type": "ModelMaker.UndoableCollection`1[[ModelMakerEngine.IReportLine, ModelMakerEngine]], ModelMaker.Undo",
                                "$values": [
                                  {
                                    "$ref": "57"
                                  }
                                ]
                              },
                              "IsOpeningBalance": false,
                              "ExternalLinks": {
                                "$type": "UINext.Collections.DeepObservableCollection`1[[ExternalLinks.IExternalDataLink, ExternalLinks]], UINext",
                                "$values": []
                              },
                              "HasUnits": true,
                              "UnitsValid": true,
                              "UnitsErrorMessage": "",
                              "IgnoreUnitIssues": false,
                              "IsPlaceholder": false,
                              "StandardName": 0,
                              "IsStandardNode": false,
                              "WarnMessage": null,
                              "HasStandardDescription": false,
                              "HasStandardName": false,
                              "OptimisationNodePair": null,
                              "IsOptimisationNode": false,
                              "Actuals": null,
                              "UDFCode": null,
                              "AssociatedOptimisationNodes": null,
                              "CustomNamedRange": null,
                              "IsRowTotal": false,
                              "YPosition": 1,
                              "Parent": {
                                "$ref": "1"
                              },
                              "Font": null,
                              "AllowIncomingLinks": true,
                              "AllowOutgoingLinks": true,
                              "IncomingLinks": {
                                "$type": "System.Collections.ObjectModel.Collection`1[[ModelMaker.MMLink, ModelMaker]], mscorlib",
                                "$values": []
                              },
                              "OutgoingLinks": {
                                "$type": "System.Collections.ObjectModel.Collection`1[[ModelMaker.MMLink, ModelMaker]], mscorlib",
                                "$values": []
                              },
                              "Issues": null
                            },
                            "OpeningBalanceFlagAppliedName": "",
                            "SumOfAboveIncludesPreviousTotal": false,
                            "LastNameUsed": null,
                            "SwitchSignForReport": false,
                            "IsSumOfAbove": false,
                            "ParentReport": {
                              "$ref": "6"
                            },
                            "HeadingLevel": 0,
                            "ReportFormatName": null,
                            "YPosition": -1,
                            "Visible": true,
                            "Font": null,
                            "AllowIncomingLinks": true,
                            "AllowOutgoingLinks": true,
                            "Deletable": true,
                            "Issues": null
                          },
                          {
                            "$id": "62",
                            "$type": "ModelMaker.ReportLine, ModelMaker",
                            "AssociatedSchematicNode": {
                              "$id": "63",
                              "$type": "ModelMaker.StockNode, ModelMaker",
                              "OpeningOrActualsName": "",
                              "InFlows": {
                                "$type": "System.Collections.Generic.List`1[[ModelMakerEngine.IEquationNode, ModelMakerEngine]], mscorlib",
                                "$values": [
                                  {
                                    "$id": "64",
                                    "$type": "ModelMaker.VariableNode, ModelMaker",
                                    "RowTotalDependent": null,
                                    "PutCalculationOnReport": false,
                                    "CalculateOnThisReport": null,
                                    "PivotTableLink": null,
                                    "ExcelNameName": null,
                                    "ExcelNameNames": {
                                      "$type": "ModelMakerEngine.ExcelNameDictionary, ModelMakerEngine",
                                      "$values": []
                                    },
                                    "NumberFormatOverride": null,
                                    "HasOpeningBalanceFlag": false,
                                    "OpeningBalanceFlagAppliedName": "",
                                    "Deletable": true,
                                    "Comment": "",
                                    "HasSwitchSignLine": false,
                                    "SwitchSignForReport": false,
                                    "MultipleInputValues": null,
                                    "NonPrimaryInput": false,
                                    "Max": "NaN",
                                    "Min": "NaN",
                                    "IsBalanceButNotCorkscrew": false,
                                    "IsEditable": true,
                                    "IsConstant": false,
                                    "UniqueID": "21bd9e60-b2c9-4537-81c0-1874507c4f72",
                                    "Dimensions": {
                                      "$type": "ModelMakerEngine.MMDimensions, ModelMakerEngine",
                                      "$values": []
                                    },
                                    "EquationOBXInternal": "IF( [Total New Capital Raised From Equity] > 0, [New Capital From Studio Cofounder]/[Price per Share],0)",
                                    "NameOfGroup": "Inputs.New Equity",
                                    "EquationToParse": "IF( [Total New Capital Raised From Equity] > 0, [New Capital From Studio Cofounder]/[Price per Share],0)",
                                    "MostRecentExpectedUnitErrors": null,
                                    "Units": {
                                      "$id": "65",
                                      "$type": "ModelMaker.Unit, ModelMaker",
                                      "NumberFormatOverride": null,
                                      "MatchAnything": false,
                                      "ExternalRepresentation": "Shares",
                                      "ItemsOnTop": {
                                        "$type": "System.Collections.Generic.List`1[[System.String, mscorlib]], mscorlib",
                                        "$values": [
                                          "Shares"
                                        ]
                                      },
                                      "ItemsOnBottom": {
                                        "$type": "System.Collections.Generic.List`1[[System.String, mscorlib]], mscorlib",
                                        "$values": []
                                      },
                                      "IsCurrency": false,
                                      "ContainsSMU": false,
                                      "IsDimensionless": false,
                                      "InsertRowTotal": true,
                                      "IgnoreWhenDeterminingExpectedUnits": false
                                    },
                                    "Name": "New Studio Cofounder Shares",
                                    "ReportLines": {
                                      "$type": "ModelMaker.UndoableCollection`1[[ModelMakerEngine.IReportLine, ModelMakerEngine]], ModelMaker.Undo",
                                      "$values": []
                                    },
                                    "IsOpeningBalance": false,
                                    "ExternalLinks": {
                                      "$type": "UINext.Collections.DeepObservableCollection`1[[ExternalLinks.IExternalDataLink, ExternalLinks]], UINext",
                                      "$values": []
                                    },
                                    "HasUnits": true,
                                    "UnitsValid": true,
                                    "UnitsErrorMessage": "",
                                    "IgnoreUnitIssues": true,
                                    "IsPlaceholder": false,
                                    "StandardName": 0,
                                    "IsStandardNode": false,
                                    "WarnMessage": null,
                                    "HasStandardDescription": false,
                                    "HasStandardName": false,
                                    "OptimisationNodePair": null,
                                    "IsOptimisationNode": false,
                                    "Actuals": null,
                                    "UDFCode": null,
                                    "AssociatedOptimisationNodes": null,
                                    "CustomNamedRange": null,
                                    "IsRowTotal": false,
                                    "YPosition": 3,
                                    "Parent": {
                                      "$ref": "1"
                                    },
                                    "Visible": true,
                                    "Font": null,
                                    "AllowIncomingLinks": true,
                                    "AllowOutgoingLinks": true,
                                    "IncomingLinks": {
                                      "$type": "System.Collections.ObjectModel.Collection`1[[ModelMaker.MMLink, ModelMaker]], mscorlib",
                                      "$values": []
                                    },
                                    "OutgoingLinks": {
                                      "$type": "System.Collections.ObjectModel.Collection`1[[ModelMaker.MMLink, ModelMaker]], mscorlib",
                                      "$values": []
                                    },
                                    "Issues": null
                                  }
                                ]
                              },
                              "OutFlows": {
                                "$type": "System.Collections.Generic.List`1[[ModelMakerEngine.IEquationNode, ModelMakerEngine]], mscorlib",
                                "$values": []
                              },
                              "FlagApplied": null,
                              "ActualsFlag": null,
                              "Name": "Studio Cofounder Shares",
                              "HasDefaultEquation": false,
                              "NonStandardBalanceFormula": false,
                              "EquationOBXInternal": "IF([Period number]=0,[Opening Studio Cofounder Shares],BEG() + [New Studio Cofounder Shares]) ",
                              "InitialOpeningVariable": null,
                              "Units": {
                                "$id": "66",
                                "$type": "ModelMaker.Unit, ModelMaker",
                                "NumberFormatOverride": null,
                                "MatchAnything": false,
                                "ExternalRepresentation": "Shares",
                                "ItemsOnTop": {
                                  "$type": "System.Collections.Generic.List`1[[System.String, mscorlib]], mscorlib",
                                  "$values": [
                                    "Shares"
                                  ]
                                },
                                "ItemsOnBottom": {
                                  "$type": "System.Collections.Generic.List`1[[System.String, mscorlib]], mscorlib",
                                  "$values": []
                                },
                                "IsCurrency": false,
                                "ContainsSMU": false,
                                "IsDimensionless": false,
                                "InsertRowTotal": true,
                                "IgnoreWhenDeterminingExpectedUnits": false
                              },
                              "Visible": true,
                              "RowTotalDependent": null,
                              "PutCalculationOnReport": false,
                              "CalculateOnThisReport": null,
                              "PivotTableLink": null,
                              "ExcelNameName": "Studio_Cofounder_Shares.BEG",
                              "ExcelNameNames": {
                                "$type": "ModelMakerEngine.ExcelNameDictionary, ModelMakerEngine",
                                "$values": []
                              },
                              "NumberFormatOverride": null,
                              "Deletable": true,
                              "Comment": "",
                              "HasSwitchSignLine": false,
                              "SwitchSignForReport": false,
                              "MultipleInputValues": null,
                              "NonPrimaryInput": false,
                              "Max": "NaN",
                              "Min": "NaN",
                              "IsBalanceButNotCorkscrew": false,
                              "IsEditable": true,
                              "IsConstant": false,
                              "UniqueID": "ce8853cb-0dda-4d92-a406-1faaec338841",
                              "Dimensions": {
                                "$type": "ModelMakerEngine.MMDimensions, ModelMakerEngine",
                                "$values": []
                              },
                              "NameOfGroup": "Capital.Shares In Issue",
                              "EquationToParse": "IF([Period number]=0,[Opening Studio Cofounder Shares],BEG() + [New Studio Cofounder Shares]) ",
                              "MostRecentExpectedUnitErrors": null,
                              "ReportLines": {
                                "$type": "ModelMaker.UndoableCollection`1[[ModelMakerEngine.IReportLine, ModelMakerEngine]], ModelMaker.Undo",
                                "$values": [
                                  {
                                    "$ref": "62"
                                  }
                                ]
                              },
                              "IsOpeningBalance": false,
                              "ExternalLinks": {
                                "$type": "UINext.Collections.DeepObservableCollection`1[[ExternalLinks.IExternalDataLink, ExternalLinks]], UINext",
                                "$values": []
                              },
                              "HasUnits": true,
                              "UnitsValid": true,
                              "UnitsErrorMessage": "",
                              "IgnoreUnitIssues": false,
                              "IsPlaceholder": false,
                              "StandardName": 0,
                              "IsStandardNode": false,
                              "WarnMessage": null,
                              "HasStandardDescription": false,
                              "HasStandardName": false,
                              "OptimisationNodePair": null,
                              "IsOptimisationNode": false,
                              "Actuals": null,
                              "UDFCode": null,
                              "AssociatedOptimisationNodes": null,
                              "CustomNamedRange": null,
                              "IsRowTotal": false,
                              "YPosition": 0,
                              "Parent": {
                                "$ref": "1"
                              },
                              "Font": null,
                              "AllowIncomingLinks": true,
                              "AllowOutgoingLinks": true,
                              "IncomingLinks": {
                                "$type": "System.Collections.ObjectModel.Collection`1[[ModelMaker.MMLink, ModelMaker]], mscorlib",
                                "$values": []
                              },
                              "OutgoingLinks": {
                                "$type": "System.Collections.ObjectModel.Collection`1[[ModelMaker.MMLink, ModelMaker]], mscorlib",
                                "$values": []
                              },
                              "Issues": null
                            },
                            "OpeningBalanceFlagAppliedName": "",
                            "SumOfAboveIncludesPreviousTotal": false,
                            "LastNameUsed": null,
                            "SwitchSignForReport": false,
                            "IsSumOfAbove": false,
                            "ParentReport": {
                              "$ref": "6"
                            },
                            "HeadingLevel": 0,
                            "ReportFormatName": null,
                            "YPosition": -1,
                            "Visible": true,
                            "Font": null,
                            "AllowIncomingLinks": true,
                            "AllowOutgoingLinks": true,
                            "Deletable": true,
                            "Issues": null
                          },
                          {
                            "$id": "67",
                            "$type": "ModelMaker.ReportLine, ModelMaker",
                            "AssociatedSchematicNode": {
                              "$id": "68",
                              "$type": "ModelMaker.StockNode, ModelMaker",
                              "OpeningOrActualsName": "",
                              "InFlows": {
                                "$type": "System.Collections.Generic.List`1[[ModelMakerEngine.IEquationNode, ModelMakerEngine]], mscorlib",
                                "$values": [
                                  {
                                    "$id": "69",
                                    "$type": "ModelMaker.VariableNode, ModelMaker",
                                    "RowTotalDependent": null,
                                    "PutCalculationOnReport": false,
                                    "CalculateOnThisReport": null,
                                    "PivotTableLink": null,
                                    "ExcelNameName": null,
                                    "ExcelNameNames": {
                                      "$type": "ModelMakerEngine.ExcelNameDictionary, ModelMakerEngine",
                                      "$values": []
                                    },
                                    "NumberFormatOverride": null,
                                    "HasOpeningBalanceFlag": false,
                                    "OpeningBalanceFlagAppliedName": "",
                                    "Deletable": true,
                                    "Comment": "",
                                    "HasSwitchSignLine": false,
                                    "SwitchSignForReport": false,
                                    "MultipleInputValues": null,
                                    "NonPrimaryInput": false,
                                    "Max": "NaN",
                                    "Min": "NaN",
                                    "IsBalanceButNotCorkscrew": false,
                                    "IsEditable": true,
                                    "IsConstant": false,
                                    "UniqueID": "cbf41950-e971-4409-b483-9d96afe782a1",
                                    "Dimensions": {
                                      "$type": "ModelMakerEngine.MMDimensions, ModelMakerEngine",
                                      "$values": []
                                    },
                                    "EquationOBXInternal": "IF( [Total New Capital Raised From Equity] > 0, [New Capital From Investor Cofounder]/[Price per Share],0)",
                                    "NameOfGroup": "Inputs.New Equity",
                                    "EquationToParse": "IF( [Total New Capital Raised From Equity] > 0, [New Capital From Investor Cofounder]/[Price per Share],0)",
                                    "MostRecentExpectedUnitErrors": null,
                                    "Units": {
                                      "$id": "70",
                                      "$type": "ModelMaker.Unit, ModelMaker",
                                      "NumberFormatOverride": null,
                                      "MatchAnything": false,
                                      "ExternalRepresentation": "Shares",
                                      "ItemsOnTop": {
                                        "$type": "System.Collections.Generic.List`1[[System.String, mscorlib]], mscorlib",
                                        "$values": [
                                          "Shares"
                                        ]
                                      },
                                      "ItemsOnBottom": {
                                        "$type": "System.Collections.Generic.List`1[[System.String, mscorlib]], mscorlib",
                                        "$values": []
                                      },
                                      "IsCurrency": false,
                                      "ContainsSMU": false,
                                      "IsDimensionless": false,
                                      "InsertRowTotal": true,
                                      "IgnoreWhenDeterminingExpectedUnits": false
                                    },
                                    "Name": "New Investor Cofounder Shares",
                                    "ReportLines": {
                                      "$type": "ModelMaker.UndoableCollection`1[[ModelMakerEngine.IReportLine, ModelMakerEngine]], ModelMaker.Undo",
                                      "$values": []
                                    },
                                    "IsOpeningBalance": false,
                                    "ExternalLinks": {
                                      "$type": "UINext.Collections.DeepObservableCollection`1[[ExternalLinks.IExternalDataLink, ExternalLinks]], UINext",
                                      "$values": []
                                    },
                                    "HasUnits": true,
                                    "UnitsValid": true,
                                    "UnitsErrorMessage": "",
                                    "IgnoreUnitIssues": true,
                                    "IsPlaceholder": false,
                                    "StandardName": 0,
                                    "IsStandardNode": false,
                                    "WarnMessage": null,
                                    "HasStandardDescription": false,
                                    "HasStandardName": false,
                                    "OptimisationNodePair": null,
                                    "IsOptimisationNode": false,
                                    "Actuals": null,
                                    "UDFCode": null,
                                    "AssociatedOptimisationNodes": null,
                                    "CustomNamedRange": null,
                                    "IsRowTotal": false,
                                    "YPosition": 4,
                                    "Parent": {
                                      "$ref": "1"
                                    },
                                    "Visible": true,
                                    "Font": null,
                                    "AllowIncomingLinks": true,
                                    "AllowOutgoingLinks": true,
                                    "IncomingLinks": {
                                      "$type": "System.Collections.ObjectModel.Collection`1[[ModelMaker.MMLink, ModelMaker]], mscorlib",
                                      "$values": []
                                    },
                                    "OutgoingLinks": {
                                      "$type": "System.Collections.ObjectModel.Collection`1[[ModelMaker.MMLink, ModelMaker]], mscorlib",
                                      "$values": []
                                    },
                                    "Issues": null
                                  }
                                ]
                              },
                              "OutFlows": {
                                "$type": "System.Collections.Generic.List`1[[ModelMakerEngine.IEquationNode, ModelMakerEngine]], mscorlib",
                                "$values": []
                              },
                              "FlagApplied": null,
                              "ActualsFlag": null,
                              "Name": "Investor Cofounder Shares",
                              "HasDefaultEquation": false,
                              "NonStandardBalanceFormula": false,
                              "EquationOBXInternal": "IF([Period number]=0,[Opening Investor Cofounder Shares],BEG() + [New Investor Cofounder Shares]) ",
                              "InitialOpeningVariable": null,
                              "Units": {
                                "$id": "71",
                                "$type": "ModelMaker.Unit, ModelMaker",
                                "NumberFormatOverride": null,
                                "MatchAnything": false,
                                "ExternalRepresentation": "Shares",
                                "ItemsOnTop": {
                                  "$type": "System.Collections.Generic.List`1[[System.String, mscorlib]], mscorlib",
                                  "$values": [
                                    "Shares"
                                  ]
                                },
                                "ItemsOnBottom": {
                                  "$type": "System.Collections.Generic.List`1[[System.String, mscorlib]], mscorlib",
                                  "$values": []
                                },
                                "IsCurrency": false,
                                "ContainsSMU": false,
                                "IsDimensionless": false,
                                "InsertRowTotal": true,
                                "IgnoreWhenDeterminingExpectedUnits": false
                              },
                              "Visible": true,
                              "RowTotalDependent": null,
                              "PutCalculationOnReport": false,
                              "CalculateOnThisReport": null,
                              "PivotTableLink": null,
                              "ExcelNameName": "Investor_Cofounder_Shares.BEG",
                              "ExcelNameNames": {
                                "$type": "ModelMakerEngine.ExcelNameDictionary, ModelMakerEngine",
                                "$values": []
                              },
                              "NumberFormatOverride": null,
                              "Deletable": true,
                              "Comment": "",
                              "HasSwitchSignLine": false,
                              "SwitchSignForReport": false,
                              "MultipleInputValues": null,
                              "NonPrimaryInput": false,
                              "Max": "NaN",
                              "Min": "NaN",
                              "IsBalanceButNotCorkscrew": false,
                              "IsEditable": true,
                              "IsConstant": false,
                              "UniqueID": "7117d90b-7c47-4b8c-8617-f5303ac6cb90",
                              "Dimensions": {
                                "$type": "ModelMakerEngine.MMDimensions, ModelMakerEngine",
                                "$values": []
                              },
                              "NameOfGroup": "Capital.Shares In Issue",
                              "EquationToParse": "IF([Period number]=0,[Opening Investor Cofounder Shares],BEG() + [New Investor Cofounder Shares]) ",
                              "MostRecentExpectedUnitErrors": null,
                              "ReportLines": {
                                "$type": "ModelMaker.UndoableCollection`1[[ModelMakerEngine.IReportLine, ModelMakerEngine]], ModelMaker.Undo",
                                "$values": [
                                  {
                                    "$ref": "67"
                                  }
                                ]
                              },
                              "IsOpeningBalance": false,
                              "ExternalLinks": {
                                "$type": "UINext.Collections.DeepObservableCollection`1[[ExternalLinks.IExternalDataLink, ExternalLinks]], UINext",
                                "$values": []
                              },
                              "HasUnits": true,
                              "UnitsValid": true,
                              "UnitsErrorMessage": "",
                              "IgnoreUnitIssues": false,
                              "IsPlaceholder": false,
                              "StandardName": 0,
                              "IsStandardNode": false,
                              "WarnMessage": null,
                              "HasStandardDescription": false,
                              "HasStandardName": false,
                              "OptimisationNodePair": null,
                              "IsOptimisationNode": false,
                              "Actuals": null,
                              "UDFCode": null,
                              "AssociatedOptimisationNodes": null,
                              "CustomNamedRange": null,
                              "IsRowTotal": false,
                              "YPosition": 2,
                              "Parent": {
                                "$ref": "1"
                              },
                              "Font": null,
                              "AllowIncomingLinks": true,
                              "AllowOutgoingLinks": true,
                              "IncomingLinks": {
                                "$type": "System.Collections.ObjectModel.Collection`1[[ModelMaker.MMLink, ModelMaker]], mscorlib",
                                "$values": []
                              },
                              "OutgoingLinks": {
                                "$type": "System.Collections.ObjectModel.Collection`1[[ModelMaker.MMLink, ModelMaker]], mscorlib",
                                "$values": []
                              },
                              "Issues": null
                            },
                            "OpeningBalanceFlagAppliedName": "",
                            "SumOfAboveIncludesPreviousTotal": false,
                            "LastNameUsed": null,
                            "SwitchSignForReport": false,
                            "IsSumOfAbove": false,
                            "ParentReport": {
                              "$ref": "6"
                            },
                            "HeadingLevel": 0,
                            "ReportFormatName": null,
                            "YPosition": -1,
                            "Visible": true,
                            "Font": null,
                            "AllowIncomingLinks": true,
                            "AllowOutgoingLinks": true,
                            "Deletable": true,
                            "Issues": null
                          },
                          {
                            "$id": "72",
                            "$type": "ModelMaker.ReportLine, ModelMaker",
                            "AssociatedSchematicNode": {
                              "$id": "73",
                              "$type": "ModelMaker.StockNode, ModelMaker",
                              "OpeningOrActualsName": "",
                              "InFlows": {
                                "$type": "System.Collections.Generic.List`1[[ModelMakerEngine.IEquationNode, ModelMakerEngine]], mscorlib",
                                "$values": [
                                  {
                                    "$id": "74",
                                    "$type": "ModelMaker.VariableNode, ModelMaker",
                                    "RowTotalDependent": null,
                                    "PutCalculationOnReport": false,
                                    "CalculateOnThisReport": null,
                                    "PivotTableLink": null,
                                    "ExcelNameName": null,
                                    "ExcelNameNames": {
                                      "$type": "ModelMakerEngine.ExcelNameDictionary, ModelMakerEngine",
                                      "$values": []
                                    },
                                    "NumberFormatOverride": null,
                                    "HasOpeningBalanceFlag": false,
                                    "OpeningBalanceFlagAppliedName": "",
                                    "Deletable": true,
                                    "Comment": "",
                                    "HasSwitchSignLine": false,
                                    "SwitchSignForReport": false,
                                    "MultipleInputValues": null,
                                    "NonPrimaryInput": false,
                                    "Max": "NaN",
                                    "Min": "NaN",
                                    "IsBalanceButNotCorkscrew": false,
                                    "IsEditable": true,
                                    "IsConstant": false,
                                    "UniqueID": "77d633ee-1da2-4fe2-890d-12d6f3c523cd",
                                    "Dimensions": {
                                      "$type": "ModelMakerEngine.MMDimensions, ModelMakerEngine",
                                      "$values": []
                                    },
                                    "EquationOBXInternal": "IF( [Total New Capital Raised From Equity] > 0, [New Capital From Other Investor]/[Price per Share],0)",
                                    "NameOfGroup": "Capital.Shares In Issue",
                                    "EquationToParse": "IF( [Total New Capital Raised From Equity] > 0, [New Capital From Other Investor]/[Price per Share],0)",
                                    "MostRecentExpectedUnitErrors": null,
                                    "Units": {
                                      "$id": "75",
                                      "$type": "ModelMaker.Unit, ModelMaker",
                                      "NumberFormatOverride": null,
                                      "MatchAnything": false,
                                      "ExternalRepresentation": "Shares",
                                      "ItemsOnTop": {
                                        "$type": "System.Collections.Generic.List`1[[System.String, mscorlib]], mscorlib",
                                        "$values": [
                                          "Shares"
                                        ]
                                      },
                                      "ItemsOnBottom": {
                                        "$type": "System.Collections.Generic.List`1[[System.String, mscorlib]], mscorlib",
                                        "$values": []
                                      },
                                      "IsCurrency": false,
                                      "ContainsSMU": false,
                                      "IsDimensionless": false,
                                      "InsertRowTotal": true,
                                      "IgnoreWhenDeterminingExpectedUnits": false
                                    },
                                    "Name": "New Other Investor Shares",
                                    "ReportLines": {
                                      "$type": "ModelMaker.UndoableCollection`1[[ModelMakerEngine.IReportLine, ModelMakerEngine]], ModelMaker.Undo",
                                      "$values": []
                                    },
                                    "IsOpeningBalance": false,
                                    "ExternalLinks": {
                                      "$type": "UINext.Collections.DeepObservableCollection`1[[ExternalLinks.IExternalDataLink, ExternalLinks]], UINext",
                                      "$values": []
                                    },
                                    "HasUnits": true,
                                    "UnitsValid": true,
                                    "UnitsErrorMessage": "",
                                    "IgnoreUnitIssues": true,
                                    "IsPlaceholder": false,
                                    "StandardName": 0,
                                    "IsStandardNode": false,
                                    "WarnMessage": null,
                                    "HasStandardDescription": false,
                                    "HasStandardName": false,
                                    "OptimisationNodePair": null,
                                    "IsOptimisationNode": false,
                                    "Actuals": null,
                                    "UDFCode": null,
                                    "AssociatedOptimisationNodes": null,
                                    "CustomNamedRange": null,
                                    "IsRowTotal": false,
                                    "YPosition": 5,
                                    "Parent": {
                                      "$ref": "1"
                                    },
                                    "Visible": true,
                                    "Font": null,
                                    "AllowIncomingLinks": true,
                                    "AllowOutgoingLinks": true,
                                    "IncomingLinks": {
                                      "$type": "System.Collections.ObjectModel.Collection`1[[ModelMaker.MMLink, ModelMaker]], mscorlib",
                                      "$values": []
                                    },
                                    "OutgoingLinks": {
                                      "$type": "System.Collections.ObjectModel.Collection`1[[ModelMaker.MMLink, ModelMaker]], mscorlib",
                                      "$values": []
                                    },
                                    "Issues": null
                                  }
                                ]
                              },
                              "OutFlows": {
                                "$type": "System.Collections.Generic.List`1[[ModelMakerEngine.IEquationNode, ModelMakerEngine]], mscorlib",
                                "$values": []
                              },
                              "FlagApplied": null,
                              "ActualsFlag": null,
                              "Name": "Other Investor Shares",
                              "HasDefaultEquation": false,
                              "NonStandardBalanceFormula": false,
                              "EquationOBXInternal": "IF([Period number]=0,[Opening Other Investor Shares],BEG() + [New Other Investor Shares]) ",
                              "InitialOpeningVariable": null,
                              "Units": {
                                "$id": "76",
                                "$type": "ModelMaker.Unit, ModelMaker",
                                "NumberFormatOverride": null,
                                "MatchAnything": false,
                                "ExternalRepresentation": "Shares",
                                "ItemsOnTop": {
                                  "$type": "System.Collections.Generic.List`1[[System.String, mscorlib]], mscorlib",
                                  "$values": [
                                    "Shares"
                                  ]
                                },
                                "ItemsOnBottom": {
                                  "$type": "System.Collections.Generic.List`1[[System.String, mscorlib]], mscorlib",
                                  "$values": []
                                },
                                "IsCurrency": false,
                                "ContainsSMU": false,
                                "IsDimensionless": false,
                                "InsertRowTotal": true,
                                "IgnoreWhenDeterminingExpectedUnits": false
                              },
                              "Visible": true,
                              "RowTotalDependent": null,
                              "PutCalculationOnReport": false,
                              "CalculateOnThisReport": null,
                              "PivotTableLink": null,
                              "ExcelNameName": "Other_Investor_Shares.BEG",
                              "ExcelNameNames": {
                                "$type": "ModelMakerEngine.ExcelNameDictionary, ModelMakerEngine",
                                "$values": []
                              },
                              "NumberFormatOverride": null,
                              "Deletable": true,
                              "Comment": "",
                              "HasSwitchSignLine": false,
                              "SwitchSignForReport": false,
                              "MultipleInputValues": null,
                              "NonPrimaryInput": false,
                              "Max": "NaN",
                              "Min": "NaN",
                              "IsBalanceButNotCorkscrew": false,
                              "IsEditable": true,
                              "IsConstant": false,
                              "UniqueID": "c65c994c-2c97-44ab-8548-cc524bcd068c",
                              "Dimensions": {
                                "$type": "ModelMakerEngine.MMDimensions, ModelMakerEngine",
                                "$values": []
                              },
                              "NameOfGroup": "Capital.Shares In Issue",
                              "EquationToParse": "IF([Period number]=0,[Opening Other Investor Shares],BEG() + [New Other Investor Shares]) ",
                              "MostRecentExpectedUnitErrors": null,
                              "ReportLines": {
                                "$type": "ModelMaker.UndoableCollection`1[[ModelMakerEngine.IReportLine, ModelMakerEngine]], ModelMaker.Undo",
                                "$values": [
                                  {
                                    "$ref": "72"
                                  }
                                ]
                              },
                              "IsOpeningBalance": false,
                              "ExternalLinks": {
                                "$type": "UINext.Collections.DeepObservableCollection`1[[ExternalLinks.IExternalDataLink, ExternalLinks]], UINext",
                                "$values": []
                              },
                              "HasUnits": true,
                              "UnitsValid": true,
                              "UnitsErrorMessage": "",
                              "IgnoreUnitIssues": true,
                              "IsPlaceholder": false,
                              "StandardName": 0,
                              "IsStandardNode": false,
                              "WarnMessage": null,
                              "HasStandardDescription": false,
                              "HasStandardName": false,
                              "OptimisationNodePair": null,
                              "IsOptimisationNode": false,
                              "Actuals": null,
                              "UDFCode": null,
                              "AssociatedOptimisationNodes": null,
                              "CustomNamedRange": null,
                              "IsRowTotal": false,
                              "YPosition": 3,
                              "Parent": {
                                "$ref": "1"
                              },
                              "Font": null,
                              "AllowIncomingLinks": true,
                              "AllowOutgoingLinks": true,
                              "IncomingLinks": {
                                "$type": "System.Collections.ObjectModel.Collection`1[[ModelMaker.MMLink, ModelMaker]], mscorlib",
                                "$values": []
                              },
                              "OutgoingLinks": {
                                "$type": "System.Collections.ObjectModel.Collection`1[[ModelMaker.MMLink, ModelMaker]], mscorlib",
                                "$values": []
                              },
                              "Issues": null
                            },
                            "OpeningBalanceFlagAppliedName": "",
                            "SumOfAboveIncludesPreviousTotal": false,
                            "LastNameUsed": null,
                            "SwitchSignForReport": false,
                            "IsSumOfAbove": false,
                            "ParentReport": {
                              "$ref": "6"
                            },
                            "HeadingLevel": 0,
                            "ReportFormatName": null,
                            "YPosition": -1,
                            "Visible": true,
                            "Font": null,
                            "AllowIncomingLinks": true,
                            "AllowOutgoingLinks": true,
                            "Deletable": true,
                            "Issues": null
                          },
                          {
                            "$ref": "5"
                          },
                          {
                            "$id": "77",
                            "$type": "ModelMaker.ReportLine, ModelMaker",
                            "AssociatedSchematicNode": {
                              "$id": "78",
                              "$type": "ModelMaker.VariableNode, ModelMaker",
                              "RowTotalDependent": null,
                              "PutCalculationOnReport": false,
                              "CalculateOnThisReport": null,
                              "PivotTableLink": null,
                              "ExcelNameName": "Sector_Cofounder__",
                              "ExcelNameNames": {
                                "$type": "ModelMakerEngine.ExcelNameDictionary, ModelMakerEngine",
                                "$values": []
                              },
                              "NumberFormatOverride": null,
                              "HasOpeningBalanceFlag": false,
                              "OpeningBalanceFlagAppliedName": "",
                              "Deletable": true,
                              "Comment": "",
                              "HasSwitchSignLine": false,
                              "SwitchSignForReport": false,
                              "MultipleInputValues": null,
                              "NonPrimaryInput": false,
                              "Max": "NaN",
                              "Min": "NaN",
                              "IsBalanceButNotCorkscrew": false,
                              "IsEditable": true,
                              "IsConstant": false,
                              "UniqueID": "5d37685b-ca9b-4381-84d3-843c9b92f962",
                              "Dimensions": {
                                "$type": "ModelMakerEngine.MMDimensions, ModelMakerEngine",
                                "$values": []
                              },
                              "EquationOBXInternal": "[Sector Cofounder Shares]/[Total Shares In Issue]",
                              "NameOfGroup": "Capital.Percentage Shareholding",
                              "EquationToParse": "[Sector Cofounder Shares]/[Total Shares In Issue]",
                              "MostRecentExpectedUnitErrors": null,
                              "Units": {
                                "$id": "79",
                                "$type": "ModelMaker.Unit, ModelMaker",
                                "NumberFormatOverride": null,
                                "MatchAnything": false,
                                "ExternalRepresentation": "%",
                                "ItemsOnTop": {
                                  "$type": "System.Collections.Generic.List`1[[System.String, mscorlib]], mscorlib",
                                  "$values": []
                                },
                                "ItemsOnBottom": {
                                  "$type": "System.Collections.Generic.List`1[[System.String, mscorlib]], mscorlib",
                                  "$values": []
                                },
                                "IsCurrency": false,
                                "ContainsSMU": false,
                                "IsDimensionless": true,
                                "InsertRowTotal": true,
                                "IgnoreWhenDeterminingExpectedUnits": false
                              },
                              "Name": "Sector Cofounder %",
                              "ReportLines": {
                                "$type": "ModelMaker.UndoableCollection`1[[ModelMakerEngine.IReportLine, ModelMakerEngine]], ModelMaker.Undo",
                                "$values": [
                                  {
                                    "$ref": "77"
                                  }
                                ]
                              },
                              "IsOpeningBalance": false,
                              "ExternalLinks": {
                                "$type": "UINext.Collections.DeepObservableCollection`1[[ExternalLinks.IExternalDataLink, ExternalLinks]], UINext",
                                "$values": []
                              },
                              "HasUnits": true,
                              "UnitsValid": true,
                              "UnitsErrorMessage": "",
                              "IgnoreUnitIssues": true,
                              "IsPlaceholder": false,
                              "StandardName": 0,
                              "IsStandardNode": false,
                              "WarnMessage": null,
                              "HasStandardDescription": false,
                              "HasStandardName": false,
                              "OptimisationNodePair": null,
                              "IsOptimisationNode": false,
                              "Actuals": null,
                              "UDFCode": null,
                              "AssociatedOptimisationNodes": null,
                              "CustomNamedRange": null,
                              "IsRowTotal": false,
                              "YPosition": 0,
                              "Parent": {
                                "$ref": "1"
                              },
                              "Visible": true,
                              "Font": null,
                              "AllowIncomingLinks": true,
                              "AllowOutgoingLinks": true,
                              "IncomingLinks": {
                                "$type": "System.Collections.ObjectModel.Collection`1[[ModelMaker.MMLink, ModelMaker]], mscorlib",
                                "$values": []
                              },
                              "OutgoingLinks": {
                                "$type": "System.Collections.ObjectModel.Collection`1[[ModelMaker.MMLink, ModelMaker]], mscorlib",
                                "$values": []
                              },
                              "Issues": null
                            },
                            "OpeningBalanceFlagAppliedName": "",
                            "SumOfAboveIncludesPreviousTotal": false,
                            "LastNameUsed": null,
                            "SwitchSignForReport": false,
                            "IsSumOfAbove": false,
                            "ParentReport": {
                              "$ref": "6"
                            },
                            "HeadingLevel": 0,
                            "ReportFormatName": null,
                            "YPosition": -1,
                            "Visible": true,
                            "Font": null,
                            "AllowIncomingLinks": true,
                            "AllowOutgoingLinks": true,
                            "Deletable": true,
                            "Issues": null
                          },
                          {
                            "$id": "80",
                            "$type": "ModelMaker.ReportLine, ModelMaker",
                            "AssociatedSchematicNode": {
                              "$id": "81",
                              "$type": "ModelMaker.VariableNode, ModelMaker",
                              "RowTotalDependent": null,
                              "PutCalculationOnReport": false,
                              "CalculateOnThisReport": null,
                              "PivotTableLink": null,
                              "ExcelNameName": "Studio_Cofounder__",
                              "ExcelNameNames": {
                                "$type": "ModelMakerEngine.ExcelNameDictionary, ModelMakerEngine",
                                "$values": []
                              },
                              "NumberFormatOverride": null,
                              "HasOpeningBalanceFlag": false,
                              "OpeningBalanceFlagAppliedName": "",
                              "Deletable": true,
                              "Comment": "",
                              "HasSwitchSignLine": false,
                              "SwitchSignForReport": false,
                              "MultipleInputValues": null,
                              "NonPrimaryInput": false,
                              "Max": "NaN",
                              "Min": "NaN",
                              "IsBalanceButNotCorkscrew": false,
                              "IsEditable": true,
                              "IsConstant": false,
                              "UniqueID": "43422f5f-eea8-4e8a-922d-5c18fcf02bf5",
                              "Dimensions": {
                                "$type": "ModelMakerEngine.MMDimensions, ModelMakerEngine",
                                "$values": []
                              },
                              "EquationOBXInternal": "[Studio Cofounder Shares]/[Total Shares In Issue]",
                              "NameOfGroup": "Capital.Percentage Shareholding",
                              "EquationToParse": "[Studio Cofounder Shares]/[Total Shares In Issue]",
                              "MostRecentExpectedUnitErrors": null,
                              "Units": {
                                "$id": "82",
                                "$type": "ModelMaker.Unit, ModelMaker",
                                "NumberFormatOverride": null,
                                "MatchAnything": false,
                                "ExternalRepresentation": "%",
                                "ItemsOnTop": {
                                  "$type": "System.Collections.Generic.List`1[[System.String, mscorlib]], mscorlib",
                                  "$values": []
                                },
                                "ItemsOnBottom": {
                                  "$type": "System.Collections.Generic.List`1[[System.String, mscorlib]], mscorlib",
                                  "$values": []
                                },
                                "IsCurrency": false,
                                "ContainsSMU": false,
                                "IsDimensionless": true,
                                "InsertRowTotal": true,
                                "IgnoreWhenDeterminingExpectedUnits": false
                              },
                              "Name": "Studio Cofounder %",
                              "ReportLines": {
                                "$type": "ModelMaker.UndoableCollection`1[[ModelMakerEngine.IReportLine, ModelMakerEngine]], ModelMaker.Undo",
                                "$values": [
                                  {
                                    "$ref": "77"
                                  },
                                  {
                                    "$ref": "80"
                                  }
                                ]
                              },
                              "IsOpeningBalance": false,
                              "ExternalLinks": {
                                "$type": "UINext.Collections.DeepObservableCollection`1[[ExternalLinks.IExternalDataLink, ExternalLinks]], UINext",
                                "$values": []
                              },
                              "HasUnits": true,
                              "UnitsValid": true,
                              "UnitsErrorMessage": "",
                              "IgnoreUnitIssues": true,
                              "IsPlaceholder": false,
                              "StandardName": 0,
                              "IsStandardNode": false,
                              "WarnMessage": null,
                              "HasStandardDescription": false,
                              "HasStandardName": false,
                              "OptimisationNodePair": null,
                              "IsOptimisationNode": false,
                              "Actuals": null,
                              "UDFCode": null,
                              "AssociatedOptimisationNodes": null,
                              "CustomNamedRange": null,
                              "IsRowTotal": false,
                              "YPosition": 1,
                              "Parent": {
                                "$ref": "1"
                              },
                              "Visible": true,
                              "Font": null,
                              "AllowIncomingLinks": true,
                              "AllowOutgoingLinks": true,
                              "IncomingLinks": {
                                "$type": "System.Collections.ObjectModel.Collection`1[[ModelMaker.MMLink, ModelMaker]], mscorlib",
                                "$values": []
                              },
                              "OutgoingLinks": {
                                "$type": "System.Collections.ObjectModel.Collection`1[[ModelMaker.MMLink, ModelMaker]], mscorlib",
                                "$values": []
                              },
                              "Issues": null
                            },
                            "OpeningBalanceFlagAppliedName": "",
                            "SumOfAboveIncludesPreviousTotal": false,
                            "LastNameUsed": null,
                            "SwitchSignForReport": false,
                            "IsSumOfAbove": false,
                            "ParentReport": {
                              "$ref": "6"
                            },
                            "HeadingLevel": 0,
                            "ReportFormatName": null,
                            "YPosition": -1,
                            "Visible": true,
                            "Font": null,
                            "AllowIncomingLinks": true,
                            "AllowOutgoingLinks": true,
                            "Deletable": true,
                            "Issues": null
                          },
                          {
                            "$id": "83",
                            "$type": "ModelMaker.ReportLine, ModelMaker",
                            "AssociatedSchematicNode": {
                              "$id": "84",
                              "$type": "ModelMaker.VariableNode, ModelMaker",
                              "RowTotalDependent": null,
                              "PutCalculationOnReport": false,
                              "CalculateOnThisReport": null,
                              "PivotTableLink": null,
                              "ExcelNameName": "Investor_Cofounder__",
                              "ExcelNameNames": {
                                "$type": "ModelMakerEngine.ExcelNameDictionary, ModelMakerEngine",
                                "$values": []
                              },
                              "NumberFormatOverride": null,
                              "HasOpeningBalanceFlag": false,
                              "OpeningBalanceFlagAppliedName": "",
                              "Deletable": true,
                              "Comment": "",
                              "HasSwitchSignLine": false,
                              "SwitchSignForReport": false,
                              "MultipleInputValues": null,
                              "NonPrimaryInput": false,
                              "Max": "NaN",
                              "Min": "NaN",
                              "IsBalanceButNotCorkscrew": false,
                              "IsEditable": true,
                              "IsConstant": false,
                              "UniqueID": "e210b186-5048-42a5-b87e-981b2407c13c",
                              "Dimensions": {
                                "$type": "ModelMakerEngine.MMDimensions, ModelMakerEngine",
                                "$values": []
                              },
                              "EquationOBXInternal": "[Investor Cofounder Shares]/[Total Shares In Issue]",
                              "NameOfGroup": "Capital.Percentage Shareholding",
                              "EquationToParse": "[Investor Cofounder Shares]/[Total Shares In Issue]",
                              "MostRecentExpectedUnitErrors": null,
                              "Units": {
                                "$id": "85",
                                "$type": "ModelMaker.Unit, ModelMaker",
                                "NumberFormatOverride": null,
                                "MatchAnything": false,
                                "ExternalRepresentation": "%",
                                "ItemsOnTop": {
                                  "$type": "System.Collections.Generic.List`1[[System.String, mscorlib]], mscorlib",
                                  "$values": []
                                },
                                "ItemsOnBottom": {
                                  "$type": "System.Collections.Generic.List`1[[System.String, mscorlib]], mscorlib",
                                  "$values": []
                                },
                                "IsCurrency": false,
                                "ContainsSMU": false,
                                "IsDimensionless": true,
                                "InsertRowTotal": true,
                                "IgnoreWhenDeterminingExpectedUnits": false
                              },
                              "Name": "Investor Cofounder %",
                              "ReportLines": {
                                "$type": "ModelMaker.UndoableCollection`1[[ModelMakerEngine.IReportLine, ModelMakerEngine]], ModelMaker.Undo",
                                "$values": [
                                  {
                                    "$ref": "83"
                                  }
                                ]
                              },
                              "IsOpeningBalance": false,
                              "ExternalLinks": {
                                "$type": "UINext.Collections.DeepObservableCollection`1[[ExternalLinks.IExternalDataLink, ExternalLinks]], UINext",
                                "$values": []
                              },
                              "HasUnits": true,
                              "UnitsValid": true,
                              "UnitsErrorMessage": "",
                              "IgnoreUnitIssues": true,
                              "IsPlaceholder": false,
                              "StandardName": 0,
                              "IsStandardNode": false,
                              "WarnMessage": null,
                              "HasStandardDescription": false,
                              "HasStandardName": false,
                              "OptimisationNodePair": null,
                              "IsOptimisationNode": false,
                              "Actuals": null,
                              "UDFCode": null,
                              "AssociatedOptimisationNodes": null,
                              "CustomNamedRange": null,
                              "IsRowTotal": false,
                              "YPosition": 2,
                              "Parent": {
                                "$ref": "1"
                              },
                              "Visible": true,
                              "Font": null,
                              "AllowIncomingLinks": true,
                              "AllowOutgoingLinks": true,
                              "IncomingLinks": {
                                "$type": "System.Collections.ObjectModel.Collection`1[[ModelMaker.MMLink, ModelMaker]], mscorlib",
                                "$values": []
                              },
                              "OutgoingLinks": {
                                "$type": "System.Collections.ObjectModel.Collection`1[[ModelMaker.MMLink, ModelMaker]], mscorlib",
                                "$values": []
                              },
                              "Issues": null
                            },
                            "OpeningBalanceFlagAppliedName": "",
                            "SumOfAboveIncludesPreviousTotal": false,
                            "LastNameUsed": null,
                            "SwitchSignForReport": false,
                            "IsSumOfAbove": false,
                            "ParentReport": {
                              "$ref": "6"
                            },
                            "HeadingLevel": 0,
                            "ReportFormatName": null,
                            "YPosition": -1,
                            "Visible": true,
                            "Font": null,
                            "AllowIncomingLinks": true,
                            "AllowOutgoingLinks": true,
                            "Deletable": true,
                            "Issues": null
                          },
                          {
                            "$id": "86",
                            "$type": "ModelMaker.ReportLine, ModelMaker",
                            "AssociatedSchematicNode": {
                              "$id": "87",
                              "$type": "ModelMaker.VariableNode, ModelMaker",
                              "RowTotalDependent": null,
                              "PutCalculationOnReport": false,
                              "CalculateOnThisReport": null,
                              "PivotTableLink": null,
                              "ExcelNameName": "Other_Investor__",
                              "ExcelNameNames": {
                                "$type": "ModelMakerEngine.ExcelNameDictionary, ModelMakerEngine",
                                "$values": []
                              },
                              "NumberFormatOverride": null,
                              "HasOpeningBalanceFlag": false,
                              "OpeningBalanceFlagAppliedName": "",
                              "Deletable": true,
                              "Comment": "",
                              "HasSwitchSignLine": false,
                              "SwitchSignForReport": false,
                              "MultipleInputValues": null,
                              "NonPrimaryInput": false,
                              "Max": "NaN",
                              "Min": "NaN",
                              "IsBalanceButNotCorkscrew": false,
                              "IsEditable": true,
                              "IsConstant": false,
                              "UniqueID": "8743809a-78be-4633-8604-7e5ab6ba91d3",
                              "Dimensions": {
                                "$type": "ModelMakerEngine.MMDimensions, ModelMakerEngine",
                                "$values": []
                              },
                              "EquationOBXInternal": "[Other Investor Shares]/[Total Shares In Issue]",
                              "NameOfGroup": "Capital.Percentage Shareholding",
                              "EquationToParse": "[Other Investor Shares]/[Total Shares In Issue]",
                              "MostRecentExpectedUnitErrors": null,
                              "Units": {
                                "$id": "88",
                                "$type": "ModelMaker.Unit, ModelMaker",
                                "NumberFormatOverride": null,
                                "MatchAnything": false,
                                "ExternalRepresentation": "%",
                                "ItemsOnTop": {
                                  "$type": "System.Collections.Generic.List`1[[System.String, mscorlib]], mscorlib",
                                  "$values": []
                                },
                                "ItemsOnBottom": {
                                  "$type": "System.Collections.Generic.List`1[[System.String, mscorlib]], mscorlib",
                                  "$values": []
                                },
                                "IsCurrency": false,
                                "ContainsSMU": false,
                                "IsDimensionless": true,
                                "InsertRowTotal": true,
                                "IgnoreWhenDeterminingExpectedUnits": false
                              },
                              "Name": "Other Investor %",
                              "ReportLines": {
                                "$type": "ModelMaker.UndoableCollection`1[[ModelMakerEngine.IReportLine, ModelMakerEngine]], ModelMaker.Undo",
                                "$values": [
                                  {
                                    "$ref": "86"
                                  }
                                ]
                              },
                              "IsOpeningBalance": false,
                              "ExternalLinks": {
                                "$type": "UINext.Collections.DeepObservableCollection`1[[ExternalLinks.IExternalDataLink, ExternalLinks]], UINext",
                                "$values": []
                              },
                              "HasUnits": true,
                              "UnitsValid": true,
                              "UnitsErrorMessage": "",
                              "IgnoreUnitIssues": true,
                              "IsPlaceholder": false,
                              "StandardName": 0,
                              "IsStandardNode": false,
                              "WarnMessage": null,
                              "HasStandardDescription": false,
                              "HasStandardName": false,
                              "OptimisationNodePair": null,
                              "IsOptimisationNode": false,
                              "Actuals": null,
                              "UDFCode": null,
                              "AssociatedOptimisationNodes": null,
                              "CustomNamedRange": null,
                              "IsRowTotal": false,
                              "YPosition": 3,
                              "Parent": {
                                "$ref": "1"
                              },
                              "Visible": true,
                              "Font": null,
                              "AllowIncomingLinks": true,
                              "AllowOutgoingLinks": true,
                              "IncomingLinks": {
                                "$type": "System.Collections.ObjectModel.Collection`1[[ModelMaker.MMLink, ModelMaker]], mscorlib",
                                "$values": []
                              },
                              "OutgoingLinks": {
                                "$type": "System.Collections.ObjectModel.Collection`1[[ModelMaker.MMLink, ModelMaker]], mscorlib",
                                "$values": []
                              },
                              "Issues": null
                            },
                            "OpeningBalanceFlagAppliedName": "",
                            "SumOfAboveIncludesPreviousTotal": false,
                            "LastNameUsed": null,
                            "SwitchSignForReport": false,
                            "IsSumOfAbove": false,
                            "ParentReport": {
                              "$ref": "6"
                            },
                            "HeadingLevel": 0,
                            "ReportFormatName": null,
                            "YPosition": -1,
                            "Visible": true,
                            "Font": null,
                            "AllowIncomingLinks": true,
                            "AllowOutgoingLinks": true,
                            "Deletable": true,
                            "Issues": null
                          },
                          {
                            "$id": "89",
                            "$type": "ModelMaker.ReportLine, ModelMaker",
                            "AssociatedSchematicNode": {
                              "$id": "90",
                              "$type": "ModelMaker.VariableNode, ModelMaker",
                              "RowTotalDependent": null,
                              "PutCalculationOnReport": false,
                              "CalculateOnThisReport": null,
                              "PivotTableLink": null,
                              "ExcelNameName": null,
                              "ExcelNameNames": {
                                "$type": "ModelMakerEngine.ExcelNameDictionary, ModelMakerEngine",
                                "$values": []
                              },
                              "NumberFormatOverride": null,
                              "HasOpeningBalanceFlag": false,
                              "OpeningBalanceFlagAppliedName": "",
                              "Deletable": true,
                              "Comment": "",
                              "HasSwitchSignLine": false,
                              "SwitchSignForReport": false,
                              "MultipleInputValues": null,
                              "NonPrimaryInput": false,
                              "Max": "NaN",
                              "Min": "NaN",
                              "IsBalanceButNotCorkscrew": false,
                              "IsEditable": true,
                              "IsConstant": false,
                              "UniqueID": "f8b50f74-458c-4a2c-93f0-61d5adf367c5",
                              "Dimensions": {
                                "$type": "ModelMakerEngine.MMDimensions, ModelMakerEngine",
                                "$values": []
                              },
                              "EquationOBXInternal": "",
                              "NameOfGroup": "Inputs.New Equity",
                              "EquationToParse": "",
                              "MostRecentExpectedUnitErrors": null,
                              "Units": {
                                "$id": "91",
                                "$type": "ModelMaker.Unit, ModelMaker",
                                "NumberFormatOverride": null,
                                "MatchAnything": false,
                                "ExternalRepresentation": "GBP",
                                "ItemsOnTop": {
                                  "$type": "System.Collections.Generic.List`1[[System.String, mscorlib]], mscorlib",
                                  "$values": [
                                    "GBP"
                                  ]
                                },
                                "ItemsOnBottom": {
                                  "$type": "System.Collections.Generic.List`1[[System.String, mscorlib]], mscorlib",
                                  "$values": []
                                },
                                "IsCurrency": false,
                                "ContainsSMU": false,
                                "IsDimensionless": false,
                                "InsertRowTotal": true,
                                "IgnoreWhenDeterminingExpectedUnits": false
                              },
                              "Name": "Opening Price per Share",
                              "ReportLines": {
                                "$type": "ModelMaker.UndoableCollection`1[[ModelMakerEngine.IReportLine, ModelMakerEngine]], ModelMaker.Undo",
                                "$values": [
                                  {
                                    "$ref": "89"
                                  }
                                ]
                              },
                              "IsOpeningBalance": false,
                              "ExternalLinks": {
                                "$type": "UINext.Collections.DeepObservableCollection`1[[ExternalLinks.IExternalDataLink, ExternalLinks]], UINext",
                                "$values": []
                              },
                              "HasUnits": true,
                              "UnitsValid": true,
                              "UnitsErrorMessage": "",
                              "IgnoreUnitIssues": true,
                              "IsPlaceholder": false,
                              "StandardName": 0,
                              "IsStandardNode": false,
                              "WarnMessage": null,
                              "HasStandardDescription": false,
                              "HasStandardName": false,
                              "OptimisationNodePair": null,
                              "IsOptimisationNode": false,
                              "Actuals": null,
                              "UDFCode": null,
                              "AssociatedOptimisationNodes": null,
                              "CustomNamedRange": null,
                              "IsRowTotal": false,
                              "YPosition": -1,
                              "Parent": null,
                              "Visible": true,
                              "Font": null,
                              "AllowIncomingLinks": true,
                              "AllowOutgoingLinks": true,
                              "IncomingLinks": {
                                "$type": "System.Collections.ObjectModel.Collection`1[[ModelMaker.MMLink, ModelMaker]], mscorlib",
                                "$values": []
                              },
                              "OutgoingLinks": {
                                "$type": "System.Collections.ObjectModel.Collection`1[[ModelMaker.MMLink, ModelMaker]], mscorlib",
                                "$values": []
                              },
                              "Issues": null
                            },
                            "OpeningBalanceFlagAppliedName": "",
                            "SumOfAboveIncludesPreviousTotal": false,
                            "LastNameUsed": null,
                            "SwitchSignForReport": false,
                            "IsSumOfAbove": false,
                            "ParentReport": {
                              "$ref": "6"
                            },
                            "HeadingLevel": 0,
                            "ReportFormatName": null,
                            "YPosition": -1,
                            "Visible": true,
                            "Font": null,
                            "AllowIncomingLinks": true,
                            "AllowOutgoingLinks": true,
                            "Deletable": true,
                            "Issues": null
                          }
                        ]
                      },
                      "ReportLines": {
                        "$type": "ModelMaker.UndoableCollection`1[[ModelMakerEngine.IReportLine, ModelMakerEngine]], ModelMaker.Undo",
                        "$values": [
                          {
                            "$id": "92",
                            "$type": "ModelMaker.Header, ModelMaker",
                            "HeadingLevel": 0,
                            "Name": "Debt",
                            "UnNegatedName": "Debt",
                            "ParentReport": {
                              "$ref": "6"
                            },
                            "Visible": true,
                            "ReportFormatName": "",
                            "IsNegatable": false,
                            "LastNameUsed": "Debt"
                          },
                          {
                            "$ref": "8"
                          },
                          {
                            "$id": "93",
                            "$type": "ModelMaker.ReportLine, ModelMaker",
                            "AssociatedSchematicNode": {
                              "$id": "94",
                              "$type": "ModelMaker.VariableNode, ModelMaker",
                              "RowTotalDependent": null,
                              "PutCalculationOnReport": false,
                              "CalculateOnThisReport": null,
                              "PivotTableLink": null,
                              "ExcelNameName": "Total_Debt",
                              "ExcelNameNames": {
                                "$type": "ModelMakerEngine.ExcelNameDictionary, ModelMakerEngine",
                                "$values": []
                              },
                              "NumberFormatOverride": null,
                              "HasOpeningBalanceFlag": false,
                              "OpeningBalanceFlagAppliedName": "",
                              "Deletable": true,
                              "Comment": "",
                              "HasSwitchSignLine": false,
                              "SwitchSignForReport": false,
                              "MultipleInputValues": null,
                              "NonPrimaryInput": false,
                              "Max": "NaN",
                              "Min": "NaN",
                              "IsBalanceButNotCorkscrew": false,
                              "IsEditable": false,
                              "IsConstant": false,
                              "UniqueID": "57cf9e90-96d8-4f8a-a5af-b42368a50df3",
                              "Dimensions": {
                                "$type": "ModelMakerEngine.MMDimensions, ModelMakerEngine",
                                "$values": []
                              },
                              "EquationOBXInternal": "",
                              "NameOfGroup": "Capital",
                              "EquationToParse": "",
                              "MostRecentExpectedUnitErrors": null,
                              "Units": {
                                "$ref": "2"
                              },
                              "Name": "Total Debt",
                              "ReportLines": {
                                "$type": "ModelMaker.UndoableCollection`1[[ModelMakerEngine.IReportLine, ModelMakerEngine]], ModelMaker.Undo",
                                "$values": [
                                  {
                                    "$ref": "93"
                                  }
                                ]
                              },
                              "IsOpeningBalance": false,
                              "ExternalLinks": {
                                "$type": "UINext.Collections.DeepObservableCollection`1[[ExternalLinks.IExternalDataLink, ExternalLinks]], UINext",
                                "$values": []
                              },
                              "HasUnits": true,
                              "UnitsValid": true,
                              "UnitsErrorMessage": "",
                              "IgnoreUnitIssues": false,
                              "IsPlaceholder": false,
                              "StandardName": 0,
                              "IsStandardNode": false,
                              "WarnMessage": null,
                              "HasStandardDescription": false,
                              "HasStandardName": false,
                              "OptimisationNodePair": null,
                              "IsOptimisationNode": false,
                              "Actuals": null,
                              "UDFCode": null,
                              "AssociatedOptimisationNodes": null,
                              "CustomNamedRange": null,
                              "IsRowTotal": false,
                              "YPosition": 2,
                              "Parent": {
                                "$ref": "1"
                              },
                              "Visible": true,
                              "Font": null,
                              "AllowIncomingLinks": true,
                              "AllowOutgoingLinks": true,
                              "IncomingLinks": {
                                "$type": "System.Collections.ObjectModel.Collection`1[[ModelMaker.MMLink, ModelMaker]], mscorlib",
                                "$values": []
                              },
                              "OutgoingLinks": {
                                "$type": "System.Collections.ObjectModel.Collection`1[[ModelMaker.MMLink, ModelMaker]], mscorlib",
                                "$values": []
                              },
                              "Issues": null
                            },
                            "OpeningBalanceFlagAppliedName": "",
                            "SumOfAboveIncludesPreviousTotal": false,
                            "LastNameUsed": null,
                            "SwitchSignForReport": false,
                            "IsSumOfAbove": true,
                            "ParentReport": {
                              "$ref": "6"
                            },
                            "HeadingLevel": 0,
                            "ReportFormatName": null,
                            "YPosition": -1,
                            "Visible": true,
                            "Font": null,
                            "AllowIncomingLinks": true,
                            "AllowOutgoingLinks": true,
                            "Deletable": true,
                            "Issues": null
                          },
                          {
                            "$id": "95",
                            "$type": "ModelMaker.Header, ModelMaker",
                            "HeadingLevel": 0,
                            "Name": "Shares in Issue",
                            "UnNegatedName": "Shares in Issue",
                            "ParentReport": {
                              "$ref": "6"
                            },
                            "Visible": true,
                            "ReportFormatName": "",
                            "IsNegatable": false,
                            "LastNameUsed": "Shares in Issue"
                          },
                          {
                            "$ref": "57"
                          },
                          {
                            "$ref": "62"
                          },
                          {
                            "$ref": "67"
                          },
                          {
                            "$ref": "72"
                          },
                          {
                            "$ref": "5"
                          },
                          {
                            "$id": "96",
                            "$type": "ModelMaker.Header, ModelMaker",
                            "HeadingLevel": 0,
                            "Name": "Percentage Shareholding",
                            "UnNegatedName": "Percentage Shareholding",
                            "ParentReport": {
                              "$ref": "6"
                            },
                            "Visible": true,
                            "ReportFormatName": "",
                            "IsNegatable": false,
                            "LastNameUsed": "Percentage Shareholding"
                          },
                          {
                            "$ref": "77"
                          },
                          {
                            "$ref": "80"
                          },
                          {
                            "$ref": "83"
                          },
                          {
                            "$ref": "86"
                          },
                          {
                            "$id": "97",
                            "$type": "ModelMaker.ReportLine, ModelMaker",
                            "AssociatedSchematicNode": {
                              "$id": "98",
                              "$type": "ModelMaker.VariableNode, ModelMaker",
                              "RowTotalDependent": null,
                              "PutCalculationOnReport": false,
                              "CalculateOnThisReport": null,
                              "PivotTableLink": null,
                              "ExcelNameName": "Total__",
                              "ExcelNameNames": {
                                "$type": "ModelMakerEngine.ExcelNameDictionary, ModelMakerEngine",
                                "$values": []
                              },
                              "NumberFormatOverride": null,
                              "HasOpeningBalanceFlag": false,
                              "OpeningBalanceFlagAppliedName": "",
                              "Deletable": true,
                              "Comment": "",
                              "HasSwitchSignLine": false,
                              "SwitchSignForReport": false,
                              "MultipleInputValues": null,
                              "NonPrimaryInput": false,
                              "Max": "NaN",
                              "Min": "NaN",
                              "IsBalanceButNotCorkscrew": false,
                              "IsEditable": false,
                              "IsConstant": false,
                              "UniqueID": "3872e546-4ece-4296-89fc-e1006cf63cb4",
                              "Dimensions": {
                                "$type": "ModelMakerEngine.MMDimensions, ModelMakerEngine",
                                "$values": []
                              },
                              "EquationOBXInternal": "",
                              "NameOfGroup": "Capital",
                              "EquationToParse": "",
                              "MostRecentExpectedUnitErrors": null,
                              "Units": {
                                "$id": "99",
                                "$type": "ModelMaker.Unit, ModelMaker",
                                "NumberFormatOverride": null,
                                "MatchAnything": false,
                                "ExternalRepresentation": "%",
                                "ItemsOnTop": {
                                  "$type": "System.Collections.Generic.List`1[[System.String, mscorlib]], mscorlib",
                                  "$values": []
                                },
                                "ItemsOnBottom": {
                                  "$type": "System.Collections.Generic.List`1[[System.String, mscorlib]], mscorlib",
                                  "$values": []
                                },
                                "IsCurrency": false,
                                "ContainsSMU": false,
                                "IsDimensionless": true,
                                "InsertRowTotal": true,
                                "IgnoreWhenDeterminingExpectedUnits": false
                              },
                              "Name": "Total %",
                              "ReportLines": {
                                "$type": "ModelMaker.UndoableCollection`1[[ModelMakerEngine.IReportLine, ModelMakerEngine]], ModelMaker.Undo",
                                "$values": [
                                  {
                                    "$ref": "97"
                                  }
                                ]
                              },
                              "IsOpeningBalance": false,
                              "ExternalLinks": {
                                "$type": "UINext.Collections.DeepObservableCollection`1[[ExternalLinks.IExternalDataLink, ExternalLinks]], UINext",
                                "$values": []
                              },
                              "HasUnits": true,
                              "UnitsValid": true,
                              "UnitsErrorMessage": "",
                              "IgnoreUnitIssues": false,
                              "IsPlaceholder": false,
                              "StandardName": 0,
                              "IsStandardNode": false,
                              "WarnMessage": null,
                              "HasStandardDescription": false,
                              "HasStandardName": false,
                              "OptimisationNodePair": null,
                              "IsOptimisationNode": false,
                              "Actuals": null,
                              "UDFCode": null,
                              "AssociatedOptimisationNodes": null,
                              "CustomNamedRange": null,
                              "IsRowTotal": false,
                              "YPosition": 1,
                              "Parent": {
                                "$ref": "1"
                              },
                              "Visible": true,
                              "Font": null,
                              "AllowIncomingLinks": true,
                              "AllowOutgoingLinks": true,
                              "IncomingLinks": {
                                "$type": "System.Collections.ObjectModel.Collection`1[[ModelMaker.MMLink, ModelMaker]], mscorlib",
                                "$values": []
                              },
                              "OutgoingLinks": {
                                "$type": "System.Collections.ObjectModel.Collection`1[[ModelMaker.MMLink, ModelMaker]], mscorlib",
                                "$values": []
                              },
                              "Issues": null
                            },
                            "OpeningBalanceFlagAppliedName": "",
                            "SumOfAboveIncludesPreviousTotal": false,
                            "LastNameUsed": null,
                            "SwitchSignForReport": false,
                            "IsSumOfAbove": true,
                            "ParentReport": {
                              "$ref": "6"
                            },
                            "HeadingLevel": 0,
                            "ReportFormatName": null,
                            "YPosition": -1,
                            "Visible": true,
                            "Font": null,
                            "AllowIncomingLinks": true,
                            "AllowOutgoingLinks": true,
                            "Deletable": true,
                            "Issues": null
                          },
                          {
                            "$id": "100",
                            "$type": "ModelMaker.Header, ModelMaker",
                            "HeadingLevel": 0,
                            "Name": "Financing",
                            "UnNegatedName": "Financing",
                            "ParentReport": {
                              "$ref": "6"
                            },
                            "Visible": true,
                            "ReportFormatName": "",
                            "IsNegatable": false,
                            "LastNameUsed": "Financing"
                          },
                          {
                            "$id": "101",
                            "$type": "ModelMaker.ReportLine, ModelMaker",
                            "AssociatedSchematicNode": {
                              "$id": "102",
                              "$type": "ModelMaker.VariableNode, ModelMaker",
                              "RowTotalDependent": null,
                              "PutCalculationOnReport": false,
                              "CalculateOnThisReport": null,
                              "PivotTableLink": null,
                              "ExcelNameName": "Pre_Money_Valuation",
                              "ExcelNameNames": {
                                "$type": "ModelMakerEngine.ExcelNameDictionary, ModelMakerEngine",
                                "$values": []
                              },
                              "NumberFormatOverride": null,
                              "HasOpeningBalanceFlag": false,
                              "OpeningBalanceFlagAppliedName": "",
                              "Deletable": true,
                              "Comment": "",
                              "HasSwitchSignLine": false,
                              "SwitchSignForReport": false,
                              "MultipleInputValues": {
                                "$type": "System.Collections.Generic.List`1[[ModelMaker.DimensionedArrayValues, ModelMaker]], mscorlib",
                                "$values": [
                                  {
                                    "$id": "103",
                                    "$type": "ModelMaker.DimensionedArrayValues, ModelMaker",
                                    "Elements": {
                                      "$type": "ModelMakerEngine.MMElements, ModelMakerEngine",
                                      "$values": []
                                    },
                                    "Values": {
                                      "$type": "System.Collections.Generic.List`1[[System.Object, mscorlib]], mscorlib",
                                      "$values": [
                                        "0",
                                        "2500000",
                                        "4250000",
                                        "8500000",
                                        "",
                                        "",
                                        "",
                                        "",
                                        "",
                                        "",
                                        ""
                                      ]
                                    }
                                  }
                                ]
                              },
                              "NonPrimaryInput": false,
                              "Max": "NaN",
                              "Min": "NaN",
                              "IsBalanceButNotCorkscrew": false,
                              "IsEditable": true,
                              "IsConstant": false,
                              "UniqueID": "dc81a5aa-a5ac-4d7e-a45f-62ce95f69953",
                              "Dimensions": {
                                "$type": "ModelMakerEngine.MMDimensions, ModelMakerEngine",
                                "$values": []
                              },
                              "EquationOBXInternal": "{0,2500000,4250000,8500000,,,,,,,}",
                              "NameOfGroup": "Inputs.New Equity",
                              "EquationToParse": "{0,2500000,4250000,8500000,,,,,,,}",
                              "MostRecentExpectedUnitErrors": null,
                              "Units": {
                                "$ref": "2"
                              },
                              "Name": "Pre-Money Valuation",
                              "ReportLines": {
                                "$type": "ModelMaker.UndoableCollection`1[[ModelMakerEngine.IReportLine, ModelMakerEngine]], ModelMaker.Undo",
                                "$values": [
                                  {
                                    "$ref": "101"
                                  }
                                ]
                              },
                              "IsOpeningBalance": false,
                              "ExternalLinks": {
                                "$type": "UINext.Collections.DeepObservableCollection`1[[ExternalLinks.IExternalDataLink, ExternalLinks]], UINext",
                                "$values": []
                              },
                              "HasUnits": true,
                              "UnitsValid": true,
                              "UnitsErrorMessage": "",
                              "IgnoreUnitIssues": false,
                              "IsPlaceholder": false,
                              "StandardName": 0,
                              "IsStandardNode": false,
                              "WarnMessage": null,
                              "HasStandardDescription": false,
                              "HasStandardName": false,
                              "OptimisationNodePair": null,
                              "IsOptimisationNode": false,
                              "Actuals": null,
                              "UDFCode": null,
                              "AssociatedOptimisationNodes": null,
                              "CustomNamedRange": null,
                              "IsRowTotal": false,
                              "YPosition": 4,
                              "Parent": {
                                "$ref": "1"
                              },
                              "Visible": true,
                              "Font": null,
                              "AllowIncomingLinks": true,
                              "AllowOutgoingLinks": true,
                              "IncomingLinks": {
                                "$type": "System.Collections.ObjectModel.Collection`1[[ModelMaker.MMLink, ModelMaker]], mscorlib",
                                "$values": []
                              },
                              "OutgoingLinks": {
                                "$type": "System.Collections.ObjectModel.Collection`1[[ModelMaker.MMLink, ModelMaker]], mscorlib",
                                "$values": []
                              },
                              "Issues": null
                            },
                            "OpeningBalanceFlagAppliedName": "",
                            "SumOfAboveIncludesPreviousTotal": false,
                            "LastNameUsed": null,
                            "SwitchSignForReport": false,
                            "IsSumOfAbove": false,
                            "ParentReport": {
                              "$ref": "6"
                            },
                            "HeadingLevel": 0,
                            "ReportFormatName": null,
                            "YPosition": -1,
                            "Visible": true,
                            "Font": null,
                            "AllowIncomingLinks": true,
                            "AllowOutgoingLinks": true,
                            "Deletable": true,
                            "Issues": null
                          },
                          {
                            "$id": "104",
                            "$type": "ModelMaker.ReportLine, ModelMaker",
                            "AssociatedSchematicNode": {
                              "$id": "105",
                              "$type": "ModelMaker.VariableNode, ModelMaker",
                              "RowTotalDependent": null,
                              "PutCalculationOnReport": false,
                              "CalculateOnThisReport": null,
                              "PivotTableLink": null,
                              "ExcelNameName": "Total_New_Capital_Raised_From_Equity",
                              "ExcelNameNames": {
                                "$type": "ModelMakerEngine.ExcelNameDictionary, ModelMakerEngine",
                                "$values": []
                              },
                              "NumberFormatOverride": null,
                              "HasOpeningBalanceFlag": false,
                              "OpeningBalanceFlagAppliedName": "",
                              "Deletable": true,
                              "Comment": "",
                              "HasSwitchSignLine": false,
                              "SwitchSignForReport": false,
                              "MultipleInputValues": null,
                              "NonPrimaryInput": false,
                              "Max": "NaN",
                              "Min": "NaN",
                              "IsBalanceButNotCorkscrew": false,
                              "IsEditable": true,
                              "IsConstant": false,
                              "UniqueID": "0b4e8a9d-b5d0-4bad-8dcc-f713b7baf955",
                              "Dimensions": {
                                "$type": "ModelMakerEngine.MMDimensions, ModelMakerEngine",
                                "$values": []
                              },
                              "EquationOBXInternal": "[New Capital From Sector Cofounder]+[New Capital From Studio Cofounder]+[New Capital From Investor Cofounder]+[New Capital From Other Investor]",
                              "NameOfGroup": "Financing",
                              "EquationToParse": "[New Capital From Sector Cofounder]+[New Capital From Studio Cofounder]+[New Capital From Investor Cofounder]+[New Capital From Other Investor]",
                              "MostRecentExpectedUnitErrors": null,
                              "Units": {
                                "$ref": "2"
                              },
                              "Name": "Total New Capital Raised From Equity",
                              "ReportLines": {
                                "$type": "ModelMaker.UndoableCollection`1[[ModelMakerEngine.IReportLine, ModelMakerEngine]], ModelMaker.Undo",
                                "$values": [
                                  {
                                    "$ref": "104"
                                  }
                                ]
                              },
                              "IsOpeningBalance": false,
                              "ExternalLinks": {
                                "$type": "UINext.Collections.DeepObservableCollection`1[[ExternalLinks.IExternalDataLink, ExternalLinks]], UINext",
                                "$values": []
                              },
                              "HasUnits": true,
                              "UnitsValid": true,
                              "UnitsErrorMessage": "",
                              "IgnoreUnitIssues": false,
                              "IsPlaceholder": false,
                              "StandardName": 0,
                              "IsStandardNode": false,
                              "WarnMessage": null,
                              "HasStandardDescription": false,
                              "HasStandardName": false,
                              "OptimisationNodePair": null,
                              "IsOptimisationNode": false,
                              "Actuals": null,
                              "UDFCode": null,
                              "AssociatedOptimisationNodes": null,
                              "CustomNamedRange": null,
                              "IsRowTotal": false,
                              "YPosition": 1,
                              "Parent": {
                                "$ref": "1"
                              },
                              "Visible": true,
                              "Font": null,
                              "AllowIncomingLinks": true,
                              "AllowOutgoingLinks": true,
                              "IncomingLinks": {
                                "$type": "System.Collections.ObjectModel.Collection`1[[ModelMaker.MMLink, ModelMaker]], mscorlib",
                                "$values": []
                              },
                              "OutgoingLinks": {
                                "$type": "System.Collections.ObjectModel.Collection`1[[ModelMaker.MMLink, ModelMaker]], mscorlib",
                                "$values": []
                              },
                              "Issues": null
                            },
                            "OpeningBalanceFlagAppliedName": "",
                            "SumOfAboveIncludesPreviousTotal": false,
                            "LastNameUsed": null,
                            "SwitchSignForReport": false,
                            "IsSumOfAbove": false,
                            "ParentReport": {
                              "$ref": "6"
                            },
                            "HeadingLevel": 0,
                            "ReportFormatName": null,
                            "YPosition": -1,
                            "Visible": true,
                            "Font": null,
                            "AllowIncomingLinks": true,
                            "AllowOutgoingLinks": true,
                            "Deletable": true,
                            "Issues": null
                          },
                          {
                            "$id": "106",
                            "$type": "ModelMaker.ReportLine, ModelMaker",
                            "AssociatedSchematicNode": {
                              "$id": "107",
                              "$type": "ModelMaker.VariableNode, ModelMaker",
                              "RowTotalDependent": null,
                              "PutCalculationOnReport": false,
                              "CalculateOnThisReport": null,
                              "PivotTableLink": null,
                              "ExcelNameName": "Post_Money_Valuation",
                              "ExcelNameNames": {
                                "$type": "ModelMakerEngine.ExcelNameDictionary, ModelMakerEngine",
                                "$values": []
                              },
                              "NumberFormatOverride": null,
                              "HasOpeningBalanceFlag": false,
                              "OpeningBalanceFlagAppliedName": "",
                              "Deletable": true,
                              "Comment": "",
                              "HasSwitchSignLine": false,
                              "SwitchSignForReport": false,
                              "MultipleInputValues": null,
                              "NonPrimaryInput": false,
                              "Max": "NaN",
                              "Min": "NaN",
                              "IsBalanceButNotCorkscrew": false,
                              "IsEditable": false,
                              "IsConstant": false,
                              "UniqueID": "a03891c3-6668-4596-9877-8a29121c679f",
                              "Dimensions": {
                                "$type": "ModelMakerEngine.MMDimensions, ModelMakerEngine",
                                "$values": []
                              },
                              "EquationOBXInternal": "",
                              "NameOfGroup": "Financing",
                              "EquationToParse": "",
                              "MostRecentExpectedUnitErrors": null,
                              "Units": {
                                "$ref": "2"
                              },
                              "Name": "Post-Money Valuation",
                              "ReportLines": {
                                "$type": "ModelMaker.UndoableCollection`1[[ModelMakerEngine.IReportLine, ModelMakerEngine]], ModelMaker.Undo",
                                "$values": [
                                  {
                                    "$ref": "106"
                                  }
                                ]
                              },
                              "IsOpeningBalance": false,
                              "ExternalLinks": {
                                "$type": "UINext.Collections.DeepObservableCollection`1[[ExternalLinks.IExternalDataLink, ExternalLinks]], UINext",
                                "$values": []
                              },
                              "HasUnits": true,
                              "UnitsValid": true,
                              "UnitsErrorMessage": "",
                              "IgnoreUnitIssues": false,
                              "IsPlaceholder": false,
                              "StandardName": 0,
                              "IsStandardNode": false,
                              "WarnMessage": null,
                              "HasStandardDescription": false,
                              "HasStandardName": false,
                              "OptimisationNodePair": null,
                              "IsOptimisationNode": false,
                              "Actuals": null,
                              "UDFCode": null,
                              "AssociatedOptimisationNodes": null,
                              "CustomNamedRange": null,
                              "IsRowTotal": false,
                              "YPosition": 0,
                              "Parent": {
                                "$ref": "1"
                              },
                              "Visible": true,
                              "Font": null,
                              "AllowIncomingLinks": true,
                              "AllowOutgoingLinks": true,
                              "IncomingLinks": {
                                "$type": "System.Collections.ObjectModel.Collection`1[[ModelMaker.MMLink, ModelMaker]], mscorlib",
                                "$values": []
                              },
                              "OutgoingLinks": {
                                "$type": "System.Collections.ObjectModel.Collection`1[[ModelMaker.MMLink, ModelMaker]], mscorlib",
                                "$values": []
                              },
                              "Issues": null
                            },
                            "OpeningBalanceFlagAppliedName": "",
                            "SumOfAboveIncludesPreviousTotal": false,
                            "LastNameUsed": null,
                            "SwitchSignForReport": false,
                            "IsSumOfAbove": true,
                            "ParentReport": {
                              "$ref": "6"
                            },
                            "HeadingLevel": 0,
                            "ReportFormatName": null,
                            "YPosition": -1,
                            "Visible": true,
                            "Font": null,
                            "AllowIncomingLinks": true,
                            "AllowOutgoingLinks": true,
                            "Deletable": true,
                            "Issues": null
                          },
                          {
                            "$id": "108",
                            "$type": "ModelMaker.Header, ModelMaker",
                            "HeadingLevel": 0,
                            "Name": "Share Price",
                            "UnNegatedName": "Share Price",
                            "ParentReport": {
                              "$ref": "6"
                            },
                            "Visible": true,
                            "ReportFormatName": "",
                            "IsNegatable": false,
                            "LastNameUsed": "Share Price"
                          },
                          {
                            "$id": "109",
                            "$type": "ModelMaker.ReportLine, ModelMaker",
                            "AssociatedSchematicNode": {
                              "$id": "110",
                              "$type": "ModelMaker.VariableNode, ModelMaker",
                              "RowTotalDependent": null,
                              "PutCalculationOnReport": false,
                              "CalculateOnThisReport": null,
                              "PivotTableLink": null,
                              "ExcelNameName": "Price_per_Share",
                              "ExcelNameNames": {
                                "$type": "ModelMakerEngine.ExcelNameDictionary, ModelMakerEngine",
                                "$values": []
                              },
                              "NumberFormatOverride": null,
                              "HasOpeningBalanceFlag": false,
                              "OpeningBalanceFlagAppliedName": "",
                              "Deletable": true,
                              "Comment": "",
                              "HasSwitchSignLine": false,
                              "SwitchSignForReport": false,
                              "MultipleInputValues": null,
                              "NonPrimaryInput": false,
                              "Max": "NaN",
                              "Min": "NaN",
                              "IsBalanceButNotCorkscrew": false,
                              "IsEditable": true,
                              "IsConstant": false,
                              "UniqueID": "45a00a80-0e1d-46d2-b612-7e14c79c094e",
                              "Dimensions": {
                                "$type": "ModelMakerEngine.MMDimensions, ModelMakerEngine",
                                "$values": []
                              },
                              "EquationOBXInternal": "IF( [Period number] =1, [Nominal Price per Share], IF([Total New Capital Raised From Equity] = 0, PREVIOUSVALUE(), [Pre-Money Valuation]/PREVIOUSVALUE([Total Shares In Issue]) ))",
                              "NameOfGroup": "Financing",
                              "EquationToParse": "IF( [Period number] =1, [Nominal Price per Share], IF([Total New Capital Raised From Equity] = 0, PREVIOUSVALUE(), [Pre-Money Valuation]/PREVIOUSVALUE([Total Shares In Issue]) ))",
                              "MostRecentExpectedUnitErrors": {
                                "$type": "System.Collections.Generic.List`1[[System.String, mscorlib]], mscorlib",
                                "$values": [
                                  "The TRUE part of the IF function measured in GBP but the FALSE part that has no units"
                                ]
                              },
                              "Units": {
                                "$id": "111",
                                "$type": "ModelMaker.Unit, ModelMaker",
                                "NumberFormatOverride": null,
                                "MatchAnything": false,
                                "ExternalRepresentation": "GBP",
                                "ItemsOnTop": {
                                  "$type": "System.Collections.Generic.List`1[[System.String, mscorlib]], mscorlib",
                                  "$values": [
                                    "GBP"
                                  ]
                                },
                                "ItemsOnBottom": {
                                  "$type": "System.Collections.Generic.List`1[[System.String, mscorlib]], mscorlib",
                                  "$values": []
                                },
                                "IsCurrency": false,
                                "ContainsSMU": false,
                                "IsDimensionless": false,
                                "InsertRowTotal": true,
                                "IgnoreWhenDeterminingExpectedUnits": false
                              },
                              "Name": "Price per Share",
                              "ReportLines": {
                                "$type": "ModelMaker.UndoableCollection`1[[ModelMakerEngine.IReportLine, ModelMakerEngine]], ModelMaker.Undo",
                                "$values": [
                                  {
                                    "$ref": "109"
                                  }
                                ]
                              },
                              "IsOpeningBalance": false,
                              "ExternalLinks": {
                                "$type": "UINext.Collections.DeepObservableCollection`1[[ExternalLinks.IExternalDataLink, ExternalLinks]], UINext",
                                "$values": []
                              },
                              "HasUnits": true,
                              "UnitsValid": true,
                              "UnitsErrorMessage": "",
                              "IgnoreUnitIssues": true,
                              "IsPlaceholder": false,
                              "StandardName": 0,
                              "IsStandardNode": false,
                              "WarnMessage": null,
                              "HasStandardDescription": false,
                              "HasStandardName": false,
                              "OptimisationNodePair": null,
                              "IsOptimisationNode": false,
                              "Actuals": null,
                              "UDFCode": null,
                              "AssociatedOptimisationNodes": null,
                              "CustomNamedRange": null,
                              "IsRowTotal": false,
                              "YPosition": 0,
                              "Parent": {
                                "$ref": "1"
                              },
                              "Visible": true,
                              "Font": null,
                              "AllowIncomingLinks": true,
                              "AllowOutgoingLinks": true,
                              "IncomingLinks": {
                                "$type": "System.Collections.ObjectModel.Collection`1[[ModelMaker.MMLink, ModelMaker]], mscorlib",
                                "$values": []
                              },
                              "OutgoingLinks": {
                                "$type": "System.Collections.ObjectModel.Collection`1[[ModelMaker.MMLink, ModelMaker]], mscorlib",
                                "$values": []
                              },
                              "Issues": null
                            },
                            "OpeningBalanceFlagAppliedName": "",
                            "SumOfAboveIncludesPreviousTotal": false,
                            "LastNameUsed": null,
                            "SwitchSignForReport": false,
                            "IsSumOfAbove": false,
                            "ParentReport": {
                              "$ref": "6"
                            },
                            "HeadingLevel": 0,
                            "ReportFormatName": null,
                            "YPosition": -1,
                            "Visible": true,
                            "Font": null,
                            "AllowIncomingLinks": true,
                            "AllowOutgoingLinks": true,
                            "Deletable": true,
                            "Issues": null
                          },
                          {
                            "$id": "112",
                            "$type": "ModelMaker.Header, ModelMaker",
                            "HeadingLevel": 0,
                            "Name": "Equity Value",
                            "UnNegatedName": "Equity Value",
                            "ParentReport": {
                              "$ref": "6"
                            },
                            "Visible": true,
                            "ReportFormatName": "",
                            "IsNegatable": false,
                            "LastNameUsed": "Equity Value"
                          },
                          {
                            "$id": "113",
                            "$type": "ModelMaker.ReportLine, ModelMaker",
                            "AssociatedSchematicNode": {
                              "$id": "114",
                              "$type": "ModelMaker.VariableNode, ModelMaker",
                              "RowTotalDependent": null,
                              "PutCalculationOnReport": false,
                              "CalculateOnThisReport": null,
                              "PivotTableLink": null,
                              "ExcelNameName": "Sector_Cofounder_Value",
                              "ExcelNameNames": {
                                "$type": "ModelMakerEngine.ExcelNameDictionary, ModelMakerEngine",
                                "$values": []
                              },
                              "NumberFormatOverride": null,
                              "HasOpeningBalanceFlag": false,
                              "OpeningBalanceFlagAppliedName": "",
                              "Deletable": true,
                              "Comment": "",
                              "HasSwitchSignLine": false,
                              "SwitchSignForReport": false,
                              "MultipleInputValues": null,
                              "NonPrimaryInput": false,
                              "Max": "NaN",
                              "Min": "NaN",
                              "IsBalanceButNotCorkscrew": false,
                              "IsEditable": true,
                              "IsConstant": false,
                              "UniqueID": "f0a9be30-2c71-4770-a1dc-15fa385a5c59",
                              "Dimensions": {
                                "$type": "ModelMakerEngine.MMDimensions, ModelMakerEngine",
                                "$values": []
                              },
                              "EquationOBXInternal": "[Sector Cofounder Shares]*[Price per Share]",
                              "NameOfGroup": "Capital Structure.Equity Value",
                              "EquationToParse": "[Sector Cofounder Shares]*[Price per Share]",
                              "MostRecentExpectedUnitErrors": null,
                              "Units": {
                                "$id": "115",
                                "$type": "ModelMaker.Unit, ModelMaker",
                                "NumberFormatOverride": null,
                                "MatchAnything": false,
                                "ExternalRepresentation": "GBP",
                                "ItemsOnTop": {
                                  "$type": "System.Collections.Generic.List`1[[System.String, mscorlib]], mscorlib",
                                  "$values": [
                                    "GBP"
                                  ]
                                },
                                "ItemsOnBottom": {
                                  "$type": "System.Collections.Generic.List`1[[System.String, mscorlib]], mscorlib",
                                  "$values": []
                                },
                                "IsCurrency": false,
                                "ContainsSMU": false,
                                "IsDimensionless": false,
                                "InsertRowTotal": true,
                                "IgnoreWhenDeterminingExpectedUnits": false
                              },
                              "Name": "Sector Cofounder Value",
                              "ReportLines": {
                                "$type": "ModelMaker.UndoableCollection`1[[ModelMakerEngine.IReportLine, ModelMakerEngine]], ModelMaker.Undo",
                                "$values": [
                                  {
                                    "$ref": "113"
                                  }
                                ]
                              },
                              "IsOpeningBalance": false,
                              "ExternalLinks": {
                                "$type": "UINext.Collections.DeepObservableCollection`1[[ExternalLinks.IExternalDataLink, ExternalLinks]], UINext",
                                "$values": []
                              },
                              "HasUnits": true,
                              "UnitsValid": true,
                              "UnitsErrorMessage": "",
                              "IgnoreUnitIssues": true,
                              "IsPlaceholder": false,
                              "StandardName": 0,
                              "IsStandardNode": false,
                              "WarnMessage": null,
                              "HasStandardDescription": false,
                              "HasStandardName": false,
                              "OptimisationNodePair": null,
                              "IsOptimisationNode": false,
                              "Actuals": null,
                              "UDFCode": null,
                              "AssociatedOptimisationNodes": null,
                              "CustomNamedRange": null,
                              "IsRowTotal": false,
                              "YPosition": 1,
                              "Parent": {
                                "$ref": "1"
                              },
                              "Visible": true,
                              "Font": null,
                              "AllowIncomingLinks": true,
                              "AllowOutgoingLinks": true,
                              "IncomingLinks": {
                                "$type": "System.Collections.ObjectModel.Collection`1[[ModelMaker.MMLink, ModelMaker]], mscorlib",
                                "$values": []
                              },
                              "OutgoingLinks": {
                                "$type": "System.Collections.ObjectModel.Collection`1[[ModelMaker.MMLink, ModelMaker]], mscorlib",
                                "$values": []
                              },
                              "Issues": null
                            },
                            "OpeningBalanceFlagAppliedName": "",
                            "SumOfAboveIncludesPreviousTotal": false,
                            "LastNameUsed": null,
                            "SwitchSignForReport": false,
                            "IsSumOfAbove": false,
                            "ParentReport": {
                              "$ref": "6"
                            },
                            "HeadingLevel": 0,
                            "ReportFormatName": null,
                            "YPosition": -1,
                            "Visible": true,
                            "Font": null,
                            "AllowIncomingLinks": true,
                            "AllowOutgoingLinks": true,
                            "Deletable": true,
                            "Issues": null
                          },
                          {
                            "$id": "116",
                            "$type": "ModelMaker.ReportLine, ModelMaker",
                            "AssociatedSchematicNode": {
                              "$id": "117",
                              "$type": "ModelMaker.VariableNode, ModelMaker",
                              "RowTotalDependent": null,
                              "PutCalculationOnReport": false,
                              "CalculateOnThisReport": null,
                              "PivotTableLink": null,
                              "ExcelNameName": "Studio_Cofounder_Value",
                              "ExcelNameNames": {
                                "$type": "ModelMakerEngine.ExcelNameDictionary, ModelMakerEngine",
                                "$values": []
                              },
                              "NumberFormatOverride": null,
                              "HasOpeningBalanceFlag": false,
                              "OpeningBalanceFlagAppliedName": "",
                              "Deletable": true,
                              "Comment": "",
                              "HasSwitchSignLine": false,
                              "SwitchSignForReport": false,
                              "MultipleInputValues": null,
                              "NonPrimaryInput": false,
                              "Max": "NaN",
                              "Min": "NaN",
                              "IsBalanceButNotCorkscrew": false,
                              "IsEditable": true,
                              "IsConstant": false,
                              "UniqueID": "d0c89a94-be7b-4935-89c4-87d272d2f32f",
                              "Dimensions": {
                                "$type": "ModelMakerEngine.MMDimensions, ModelMakerEngine",
                                "$values": []
                              },
                              "EquationOBXInternal": "[Studio Cofounder Shares]*[Price per Share]",
                              "NameOfGroup": "Capital Structure.Equity Value",
                              "EquationToParse": "[Studio Cofounder Shares]*[Price per Share]",
                              "MostRecentExpectedUnitErrors": null,
                              "Units": {
                                "$id": "118",
                                "$type": "ModelMaker.Unit, ModelMaker",
                                "NumberFormatOverride": null,
                                "MatchAnything": false,
                                "ExternalRepresentation": "GBP",
                                "ItemsOnTop": {
                                  "$type": "System.Collections.Generic.List`1[[System.String, mscorlib]], mscorlib",
                                  "$values": [
                                    "GBP"
                                  ]
                                },
                                "ItemsOnBottom": {
                                  "$type": "System.Collections.Generic.List`1[[System.String, mscorlib]], mscorlib",
                                  "$values": []
                                },
                                "IsCurrency": false,
                                "ContainsSMU": false,
                                "IsDimensionless": false,
                                "InsertRowTotal": true,
                                "IgnoreWhenDeterminingExpectedUnits": false
                              },
                              "Name": "Studio Cofounder Value",
                              "ReportLines": {
                                "$type": "ModelMaker.UndoableCollection`1[[ModelMakerEngine.IReportLine, ModelMakerEngine]], ModelMaker.Undo",
                                "$values": [
                                  {
                                    "$ref": "116"
                                  }
                                ]
                              },
                              "IsOpeningBalance": false,
                              "ExternalLinks": {
                                "$type": "UINext.Collections.DeepObservableCollection`1[[ExternalLinks.IExternalDataLink, ExternalLinks]], UINext",
                                "$values": []
                              },
                              "HasUnits": true,
                              "UnitsValid": true,
                              "UnitsErrorMessage": "",
                              "IgnoreUnitIssues": true,
                              "IsPlaceholder": false,
                              "StandardName": 0,
                              "IsStandardNode": false,
                              "WarnMessage": null,
                              "HasStandardDescription": false,
                              "HasStandardName": false,
                              "OptimisationNodePair": null,
                              "IsOptimisationNode": false,
                              "Actuals": null,
                              "UDFCode": null,
                              "AssociatedOptimisationNodes": null,
                              "CustomNamedRange": null,
                              "IsRowTotal": false,
                              "YPosition": 2,
                              "Parent": {
                                "$ref": "1"
                              },
                              "Visible": true,
                              "Font": null,
                              "AllowIncomingLinks": true,
                              "AllowOutgoingLinks": true,
                              "IncomingLinks": {
                                "$type": "System.Collections.ObjectModel.Collection`1[[ModelMaker.MMLink, ModelMaker]], mscorlib",
                                "$values": []
                              },
                              "OutgoingLinks": {
                                "$type": "System.Collections.ObjectModel.Collection`1[[ModelMaker.MMLink, ModelMaker]], mscorlib",
                                "$values": []
                              },
                              "Issues": null
                            },
                            "OpeningBalanceFlagAppliedName": "",
                            "SumOfAboveIncludesPreviousTotal": false,
                            "LastNameUsed": null,
                            "SwitchSignForReport": false,
                            "IsSumOfAbove": false,
                            "ParentReport": {
                              "$ref": "6"
                            },
                            "HeadingLevel": 0,
                            "ReportFormatName": null,
                            "YPosition": -1,
                            "Visible": true,
                            "Font": null,
                            "AllowIncomingLinks": true,
                            "AllowOutgoingLinks": true,
                            "Deletable": true,
                            "Issues": null
                          },
                          {
                            "$id": "119",
                            "$type": "ModelMaker.ReportLine, ModelMaker",
                            "AssociatedSchematicNode": {
                              "$id": "120",
                              "$type": "ModelMaker.VariableNode, ModelMaker",
                              "RowTotalDependent": null,
                              "PutCalculationOnReport": false,
                              "CalculateOnThisReport": null,
                              "PivotTableLink": null,
                              "ExcelNameName": "Investor_Cofounder_Value",
                              "ExcelNameNames": {
                                "$type": "ModelMakerEngine.ExcelNameDictionary, ModelMakerEngine",
                                "$values": []
                              },
                              "NumberFormatOverride": null,
                              "HasOpeningBalanceFlag": false,
                              "OpeningBalanceFlagAppliedName": "",
                              "Deletable": true,
                              "Comment": "",
                              "HasSwitchSignLine": false,
                              "SwitchSignForReport": false,
                              "MultipleInputValues": null,
                              "NonPrimaryInput": false,
                              "Max": "NaN",
                              "Min": "NaN",
                              "IsBalanceButNotCorkscrew": false,
                              "IsEditable": true,
                              "IsConstant": false,
                              "UniqueID": "14050c32-62f0-4fe2-aca5-137ba8b7aaff",
                              "Dimensions": {
                                "$type": "ModelMakerEngine.MMDimensions, ModelMakerEngine",
                                "$values": []
                              },
                              "EquationOBXInternal": "[Investor Cofounder Shares]*[Price per Share]",
                              "NameOfGroup": "Capital Structure.Equity Value",
                              "EquationToParse": "[Investor Cofounder Shares]*[Price per Share]",
                              "MostRecentExpectedUnitErrors": null,
                              "Units": {
                                "$id": "121",
                                "$type": "ModelMaker.Unit, ModelMaker",
                                "NumberFormatOverride": null,
                                "MatchAnything": false,
                                "ExternalRepresentation": "GBP",
                                "ItemsOnTop": {
                                  "$type": "System.Collections.Generic.List`1[[System.String, mscorlib]], mscorlib",
                                  "$values": [
                                    "GBP"
                                  ]
                                },
                                "ItemsOnBottom": {
                                  "$type": "System.Collections.Generic.List`1[[System.String, mscorlib]], mscorlib",
                                  "$values": []
                                },
                                "IsCurrency": false,
                                "ContainsSMU": false,
                                "IsDimensionless": false,
                                "InsertRowTotal": true,
                                "IgnoreWhenDeterminingExpectedUnits": false
                              },
                              "Name": "Investor Cofounder Value",
                              "ReportLines": {
                                "$type": "ModelMaker.UndoableCollection`1[[ModelMakerEngine.IReportLine, ModelMakerEngine]], ModelMaker.Undo",
                                "$values": [
                                  {
                                    "$ref": "119"
                                  }
                                ]
                              },
                              "IsOpeningBalance": false,
                              "ExternalLinks": {
                                "$type": "UINext.Collections.DeepObservableCollection`1[[ExternalLinks.IExternalDataLink, ExternalLinks]], UINext",
                                "$values": []
                              },
                              "HasUnits": true,
                              "UnitsValid": true,
                              "UnitsErrorMessage": "",
                              "IgnoreUnitIssues": true,
                              "IsPlaceholder": false,
                              "StandardName": 0,
                              "IsStandardNode": false,
                              "WarnMessage": null,
                              "HasStandardDescription": false,
                              "HasStandardName": false,
                              "OptimisationNodePair": null,
                              "IsOptimisationNode": false,
                              "Actuals": null,
                              "UDFCode": null,
                              "AssociatedOptimisationNodes": null,
                              "CustomNamedRange": null,
                              "IsRowTotal": false,
                              "YPosition": 3,
                              "Parent": {
                                "$ref": "1"
                              },
                              "Visible": true,
                              "Font": null,
                              "AllowIncomingLinks": true,
                              "AllowOutgoingLinks": true,
                              "IncomingLinks": {
                                "$type": "System.Collections.ObjectModel.Collection`1[[ModelMaker.MMLink, ModelMaker]], mscorlib",
                                "$values": []
                              },
                              "OutgoingLinks": {
                                "$type": "System.Collections.ObjectModel.Collection`1[[ModelMaker.MMLink, ModelMaker]], mscorlib",
                                "$values": []
                              },
                              "Issues": null
                            },
                            "OpeningBalanceFlagAppliedName": "",
                            "SumOfAboveIncludesPreviousTotal": false,
                            "LastNameUsed": null,
                            "SwitchSignForReport": false,
                            "IsSumOfAbove": false,
                            "ParentReport": {
                              "$ref": "6"
                            },
                            "HeadingLevel": 0,
                            "ReportFormatName": null,
                            "YPosition": -1,
                            "Visible": true,
                            "Font": null,
                            "AllowIncomingLinks": true,
                            "AllowOutgoingLinks": true,
                            "Deletable": true,
                            "Issues": null
                          },
                          {
                            "$id": "122",
                            "$type": "ModelMaker.ReportLine, ModelMaker",
                            "AssociatedSchematicNode": {
                              "$id": "123",
                              "$type": "ModelMaker.VariableNode, ModelMaker",
                              "RowTotalDependent": null,
                              "PutCalculationOnReport": false,
                              "CalculateOnThisReport": null,
                              "PivotTableLink": null,
                              "ExcelNameName": "Other_Investor_Value",
                              "ExcelNameNames": {
                                "$type": "ModelMakerEngine.ExcelNameDictionary, ModelMakerEngine",
                                "$values": []
                              },
                              "NumberFormatOverride": null,
                              "HasOpeningBalanceFlag": false,
                              "OpeningBalanceFlagAppliedName": "",
                              "Deletable": true,
                              "Comment": "",
                              "HasSwitchSignLine": false,
                              "SwitchSignForReport": false,
                              "MultipleInputValues": null,
                              "NonPrimaryInput": false,
                              "Max": "NaN",
                              "Min": "NaN",
                              "IsBalanceButNotCorkscrew": false,
                              "IsEditable": true,
                              "IsConstant": false,
                              "UniqueID": "9ec1c3a8-81b0-4aaf-88d2-a8206fca3ae0",
                              "Dimensions": {
                                "$type": "ModelMakerEngine.MMDimensions, ModelMakerEngine",
                                "$values": []
                              },
                              "EquationOBXInternal": "[Other Investor Shares]*[Price per Share]",
                              "NameOfGroup": "Capital Structure.Equity Value",
                              "EquationToParse": "[Other Investor Shares]*[Price per Share]",
                              "MostRecentExpectedUnitErrors": null,
                              "Units": {
                                "$id": "124",
                                "$type": "ModelMaker.Unit, ModelMaker",
                                "NumberFormatOverride": null,
                                "MatchAnything": false,
                                "ExternalRepresentation": "GBP",
                                "ItemsOnTop": {
                                  "$type": "System.Collections.Generic.List`1[[System.String, mscorlib]], mscorlib",
                                  "$values": [
                                    "GBP"
                                  ]
                                },
                                "ItemsOnBottom": {
                                  "$type": "System.Collections.Generic.List`1[[System.String, mscorlib]], mscorlib",
                                  "$values": []
                                },
                                "IsCurrency": false,
                                "ContainsSMU": false,
                                "IsDimensionless": false,
                                "InsertRowTotal": true,
                                "IgnoreWhenDeterminingExpectedUnits": false
                              },
                              "Name": "Other Investor Value",
                              "ReportLines": {
                                "$type": "ModelMaker.UndoableCollection`1[[ModelMakerEngine.IReportLine, ModelMakerEngine]], ModelMaker.Undo",
                                "$values": [
                                  {
                                    "$ref": "122"
                                  }
                                ]
                              },
                              "IsOpeningBalance": false,
                              "ExternalLinks": {
                                "$type": "UINext.Collections.DeepObservableCollection`1[[ExternalLinks.IExternalDataLink, ExternalLinks]], UINext",
                                "$values": []
                              },
                              "HasUnits": true,
                              "UnitsValid": true,
                              "UnitsErrorMessage": "",
                              "IgnoreUnitIssues": true,
                              "IsPlaceholder": false,
                              "StandardName": 0,
                              "IsStandardNode": false,
                              "WarnMessage": null,
                              "HasStandardDescription": false,
                              "HasStandardName": false,
                              "OptimisationNodePair": null,
                              "IsOptimisationNode": false,
                              "Actuals": null,
                              "UDFCode": null,
                              "AssociatedOptimisationNodes": null,
                              "CustomNamedRange": null,
                              "IsRowTotal": false,
                              "YPosition": 4,
                              "Parent": {
                                "$ref": "1"
                              },
                              "Visible": true,
                              "Font": null,
                              "AllowIncomingLinks": true,
                              "AllowOutgoingLinks": true,
                              "IncomingLinks": {
                                "$type": "System.Collections.ObjectModel.Collection`1[[ModelMaker.MMLink, ModelMaker]], mscorlib",
                                "$values": []
                              },
                              "OutgoingLinks": {
                                "$type": "System.Collections.ObjectModel.Collection`1[[ModelMaker.MMLink, ModelMaker]], mscorlib",
                                "$values": []
                              },
                              "Issues": null
                            },
                            "OpeningBalanceFlagAppliedName": "",
                            "SumOfAboveIncludesPreviousTotal": false,
                            "LastNameUsed": null,
                            "SwitchSignForReport": false,
                            "IsSumOfAbove": false,
                            "ParentReport": {
                              "$ref": "6"
                            },
                            "HeadingLevel": 0,
                            "ReportFormatName": null,
                            "YPosition": -1,
                            "Visible": true,
                            "Font": null,
                            "AllowIncomingLinks": true,
                            "AllowOutgoingLinks": true,
                            "Deletable": true,
                            "Issues": null
                          },
                          {
                            "$id": "125",
                            "$type": "ModelMaker.ReportLine, ModelMaker",
                            "AssociatedSchematicNode": {
                              "$id": "126",
                              "$type": "ModelMaker.VariableNode, ModelMaker",
                              "RowTotalDependent": null,
                              "PutCalculationOnReport": false,
                              "CalculateOnThisReport": null,
                              "PivotTableLink": null,
                              "ExcelNameName": "Total_Equity_Value",
                              "ExcelNameNames": {
                                "$type": "ModelMakerEngine.ExcelNameDictionary, ModelMakerEngine",
                                "$values": []
                              },
                              "NumberFormatOverride": null,
                              "HasOpeningBalanceFlag": false,
                              "OpeningBalanceFlagAppliedName": "",
                              "Deletable": true,
                              "Comment": "",
                              "HasSwitchSignLine": false,
                              "SwitchSignForReport": false,
                              "MultipleInputValues": null,
                              "NonPrimaryInput": false,
                              "Max": "NaN",
                              "Min": "NaN",
                              "IsBalanceButNotCorkscrew": false,
                              "IsEditable": false,
                              "IsConstant": false,
                              "UniqueID": "54aade9d-a91c-4499-a77f-3037a33abbf5",
                              "Dimensions": {
                                "$type": "ModelMakerEngine.MMDimensions, ModelMakerEngine",
                                "$values": []
                              },
                              "EquationOBXInternal": "",
                              "NameOfGroup": "Capital Structure.Equity Value",
                              "EquationToParse": "",
                              "MostRecentExpectedUnitErrors": null,
                              "Units": {
                                "$ref": "2"
                              },
                              "Name": "Total Equity Value",
                              "ReportLines": {
                                "$type": "ModelMaker.UndoableCollection`1[[ModelMakerEngine.IReportLine, ModelMakerEngine]], ModelMaker.Undo",
                                "$values": [
                                  {
                                    "$ref": "125"
                                  }
                                ]
                              },
                              "IsOpeningBalance": false,
                              "ExternalLinks": {
                                "$type": "UINext.Collections.DeepObservableCollection`1[[ExternalLinks.IExternalDataLink, ExternalLinks]], UINext",
                                "$values": []
                              },
                              "HasUnits": true,
                              "UnitsValid": true,
                              "UnitsErrorMessage": "",
                              "IgnoreUnitIssues": false,
                              "IsPlaceholder": false,
                              "StandardName": 0,
                              "IsStandardNode": false,
                              "WarnMessage": null,
                              "HasStandardDescription": false,
                              "HasStandardName": false,
                              "OptimisationNodePair": null,
                              "IsOptimisationNode": false,
                              "Actuals": null,
                              "UDFCode": null,
                              "AssociatedOptimisationNodes": null,
                              "CustomNamedRange": null,
                              "IsRowTotal": false,
                              "YPosition": 5,
                              "Parent": {
                                "$ref": "1"
                              },
                              "Visible": true,
                              "Font": null,
                              "AllowIncomingLinks": true,
                              "AllowOutgoingLinks": true,
                              "IncomingLinks": {
                                "$type": "System.Collections.ObjectModel.Collection`1[[ModelMaker.MMLink, ModelMaker]], mscorlib",
                                "$values": []
                              },
                              "OutgoingLinks": {
                                "$type": "System.Collections.ObjectModel.Collection`1[[ModelMaker.MMLink, ModelMaker]], mscorlib",
                                "$values": []
                              },
                              "Issues": null
                            },
                            "OpeningBalanceFlagAppliedName": "",
                            "SumOfAboveIncludesPreviousTotal": false,
                            "LastNameUsed": null,
                            "SwitchSignForReport": false,
                            "IsSumOfAbove": true,
                            "ParentReport": {
                              "$ref": "6"
                            },
                            "HeadingLevel": 0,
                            "ReportFormatName": null,
                            "YPosition": -1,
                            "Visible": true,
                            "Font": null,
                            "AllowIncomingLinks": true,
                            "AllowOutgoingLinks": true,
                            "Deletable": true,
                            "Issues": null
                          },
                          {
                            "$id": "127",
                            "$type": "ModelMaker.Header, ModelMaker",
                            "HeadingLevel": 0,
                            "Name": "Proceeds From Exit",
                            "UnNegatedName": "Proceeds From Exit",
                            "ParentReport": {
                              "$ref": "6"
                            },
                            "Visible": true,
                            "ReportFormatName": "",
                            "IsNegatable": false,
                            "LastNameUsed": "Proceeds From Exit"
                          },
                          {
                            "$id": "128",
                            "$type": "ModelMaker.ReportLine, ModelMaker",
                            "AssociatedSchematicNode": {
                              "$id": "129",
                              "$type": "ModelMaker.VariableNode, ModelMaker",
                              "RowTotalDependent": null,
                              "PutCalculationOnReport": false,
                              "CalculateOnThisReport": null,
                              "PivotTableLink": null,
                              "ExcelNameName": "Exit_Proceeds",
                              "ExcelNameNames": {
                                "$type": "ModelMakerEngine.ExcelNameDictionary, ModelMakerEngine",
                                "$values": []
                              },
                              "NumberFormatOverride": null,
                              "HasOpeningBalanceFlag": false,
                              "OpeningBalanceFlagAppliedName": "",
                              "Deletable": true,
                              "Comment": "",
                              "HasSwitchSignLine": false,
                              "SwitchSignForReport": false,
                              "MultipleInputValues": null,
                              "NonPrimaryInput": false,
                              "Max": "NaN",
                              "Min": "NaN",
                              "IsBalanceButNotCorkscrew": false,
                              "IsEditable": true,
                              "IsConstant": false,
                              "UniqueID": "ecc350cc-fa8b-4687-9b43-93f32b151fa2",
                              "Dimensions": {
                                "$type": "ModelMakerEngine.MMDimensions, ModelMakerEngine",
                                "$values": []
                              },
                              "EquationOBXInternal": " [Exit Value]",
                              "NameOfGroup": "Company Capital Structure.Exit",
                              "EquationToParse": " [Exit Value]",
                              "MostRecentExpectedUnitErrors": null,
                              "Units": {
                                "$ref": "2"
                              },
                              "Name": "Exit Proceeds",
                              "ReportLines": {
                                "$type": "ModelMaker.UndoableCollection`1[[ModelMakerEngine.IReportLine, ModelMakerEngine]], ModelMaker.Undo",
                                "$values": [
                                  {
                                    "$ref": "128"
                                  }
                                ]
                              },
                              "IsOpeningBalance": false,
                              "ExternalLinks": {
                                "$type": "UINext.Collections.DeepObservableCollection`1[[ExternalLinks.IExternalDataLink, ExternalLinks]], UINext",
                                "$values": []
                              },
                              "HasUnits": true,
                              "UnitsValid": true,
                              "UnitsErrorMessage": "",
                              "IgnoreUnitIssues": false,
                              "IsPlaceholder": false,
                              "StandardName": 0,
                              "IsStandardNode": false,
                              "WarnMessage": null,
                              "HasStandardDescription": false,
                              "HasStandardName": false,
                              "OptimisationNodePair": null,
                              "IsOptimisationNode": false,
                              "Actuals": null,
                              "UDFCode": null,
                              "AssociatedOptimisationNodes": null,
                              "CustomNamedRange": null,
                              "IsRowTotal": false,
                              "YPosition": 0,
                              "Parent": {
                                "$ref": "1"
                              },
                              "Visible": true,
                              "Font": null,
                              "AllowIncomingLinks": true,
                              "AllowOutgoingLinks": true,
                              "IncomingLinks": {
                                "$type": "System.Collections.ObjectModel.Collection`1[[ModelMaker.MMLink, ModelMaker]], mscorlib",
                                "$values": []
                              },
                              "OutgoingLinks": {
                                "$type": "System.Collections.ObjectModel.Collection`1[[ModelMaker.MMLink, ModelMaker]], mscorlib",
                                "$values": []
                              },
                              "Issues": null
                            },
                            "OpeningBalanceFlagAppliedName": "",
                            "SumOfAboveIncludesPreviousTotal": false,
                            "LastNameUsed": null,
                            "SwitchSignForReport": false,
                            "IsSumOfAbove": false,
                            "ParentReport": {
                              "$ref": "6"
                            },
                            "HeadingLevel": 0,
                            "ReportFormatName": null,
                            "YPosition": -1,
                            "Visible": true,
                            "Font": null,
                            "AllowIncomingLinks": true,
                            "AllowOutgoingLinks": true,
                            "Deletable": true,
                            "Issues": null
                          },
                          {
                            "$id": "130",
                            "$type": "ModelMaker.Header, ModelMaker",
                            "HeadingLevel": 0,
                            "Name": "Breakdown in proceeds from Exit",
                            "UnNegatedName": "Breakdown in proceeds from Exit",
                            "ParentReport": {
                              "$ref": "6"
                            },
                            "Visible": true,
                            "ReportFormatName": "",
                            "IsNegatable": false,
                            "LastNameUsed": "Breakdown in proceeds from Exit"
                          },
                          {
                            "$id": "131",
                            "$type": "ModelMaker.ReportLine, ModelMaker",
                            "AssociatedSchematicNode": {
                              "$id": "132",
                              "$type": "ModelMaker.VariableNode, ModelMaker",
                              "RowTotalDependent": null,
                              "PutCalculationOnReport": false,
                              "CalculateOnThisReport": null,
                              "PivotTableLink": null,
                              "ExcelNameName": "Loan_and_Redemption_Premium_Repayment",
                              "ExcelNameNames": {
                                "$type": "ModelMakerEngine.ExcelNameDictionary, ModelMakerEngine",
                                "$values": []
                              },
                              "NumberFormatOverride": null,
                              "HasOpeningBalanceFlag": false,
                              "OpeningBalanceFlagAppliedName": "",
                              "Deletable": true,
                              "Comment": "",
                              "HasSwitchSignLine": false,
                              "SwitchSignForReport": false,
                              "MultipleInputValues": null,
                              "NonPrimaryInput": false,
                              "Max": "NaN",
                              "Min": "NaN",
                              "IsBalanceButNotCorkscrew": false,
                              "IsEditable": true,
                              "IsConstant": false,
                              "UniqueID": "9218092b-a1bd-4ac0-8562-145eec18630d",
                              "Dimensions": {
                                "$type": "ModelMakerEngine.MMDimensions, ModelMakerEngine",
                                "$values": []
                              },
                              "EquationOBXInternal": "IF([Exit Proceeds]>[Loan Repayment], [Loan Repayment], [Exit Proceeds])",
                              "NameOfGroup": "Company Capital Structure.Exit",
                              "EquationToParse": "IF([Exit Proceeds]>[Loan Repayment], [Loan Repayment], [Exit Proceeds])",
                              "MostRecentExpectedUnitErrors": null,
                              "Units": {
                                "$ref": "2"
                              },
                              "Name": "Loan and Redemption Premium Repayment",
                              "ReportLines": {
                                "$type": "ModelMaker.UndoableCollection`1[[ModelMakerEngine.IReportLine, ModelMakerEngine]], ModelMaker.Undo",
                                "$values": [
                                  {
                                    "$ref": "131"
                                  }
                                ]
                              },
                              "IsOpeningBalance": false,
                              "ExternalLinks": {
                                "$type": "UINext.Collections.DeepObservableCollection`1[[ExternalLinks.IExternalDataLink, ExternalLinks]], UINext",
                                "$values": []
                              },
                              "HasUnits": true,
                              "UnitsValid": true,
                              "UnitsErrorMessage": "",
                              "IgnoreUnitIssues": false,
                              "IsPlaceholder": false,
                              "StandardName": 0,
                              "IsStandardNode": false,
                              "WarnMessage": null,
                              "HasStandardDescription": false,
                              "HasStandardName": false,
                              "OptimisationNodePair": null,
                              "IsOptimisationNode": false,
                              "Actuals": null,
                              "UDFCode": null,
                              "AssociatedOptimisationNodes": null,
                              "CustomNamedRange": null,
                              "IsRowTotal": false,
                              "YPosition": 2,
                              "Parent": {
                                "$ref": "1"
                              },
                              "Visible": true,
                              "Font": null,
                              "AllowIncomingLinks": true,
                              "AllowOutgoingLinks": true,
                              "IncomingLinks": {
                                "$type": "System.Collections.ObjectModel.Collection`1[[ModelMaker.MMLink, ModelMaker]], mscorlib",
                                "$values": []
                              },
                              "OutgoingLinks": {
                                "$type": "System.Collections.ObjectModel.Collection`1[[ModelMaker.MMLink, ModelMaker]], mscorlib",
                                "$values": []
                              },
                              "Issues": null
                            },
                            "OpeningBalanceFlagAppliedName": "",
                            "SumOfAboveIncludesPreviousTotal": false,
                            "LastNameUsed": null,
                            "SwitchSignForReport": false,
                            "IsSumOfAbove": false,
                            "ParentReport": {
                              "$ref": "6"
                            },
                            "HeadingLevel": 0,
                            "ReportFormatName": null,
                            "YPosition": -1,
                            "Visible": true,
                            "Font": null,
                            "AllowIncomingLinks": true,
                            "AllowOutgoingLinks": true,
                            "Deletable": true,
                            "Issues": null
                          },
                          {
                            "$id": "133",
                            "$type": "ModelMaker.ReportLine, ModelMaker",
                            "AssociatedSchematicNode": {
                              "$id": "134",
                              "$type": "ModelMaker.VariableNode, ModelMaker",
                              "RowTotalDependent": null,
                              "PutCalculationOnReport": false,
                              "CalculateOnThisReport": null,
                              "PivotTableLink": null,
                              "ExcelNameName": "Proceeds_to_Sector_Cofounder",
                              "ExcelNameNames": {
                                "$type": "ModelMakerEngine.ExcelNameDictionary, ModelMakerEngine",
                                "$values": []
                              },
                              "NumberFormatOverride": null,
                              "HasOpeningBalanceFlag": false,
                              "OpeningBalanceFlagAppliedName": "",
                              "Deletable": true,
                              "Comment": "",
                              "HasSwitchSignLine": false,
                              "SwitchSignForReport": false,
                              "MultipleInputValues": null,
                              "NonPrimaryInput": false,
                              "Max": "NaN",
                              "Min": "NaN",
                              "IsBalanceButNotCorkscrew": false,
                              "IsEditable": true,
                              "IsConstant": false,
                              "UniqueID": "93ca1dff-3d1a-4c9c-80ad-547652829fce",
                              "Dimensions": {
                                "$type": "ModelMakerEngine.MMDimensions, ModelMakerEngine",
                                "$values": []
                              },
                              "EquationOBXInternal": "[Proceeds After Loan Repayment]*[Sector Cofounder %]",
                              "NameOfGroup": "Company Capital Structure.Exit",
                              "EquationToParse": "[Proceeds After Loan Repayment]*[Sector Cofounder %]",
                              "MostRecentExpectedUnitErrors": null,
                              "Units": {
                                "$ref": "2"
                              },
                              "Name": "Proceeds to Sector Cofounder",
                              "ReportLines": {
                                "$type": "ModelMaker.UndoableCollection`1[[ModelMakerEngine.IReportLine, ModelMakerEngine]], ModelMaker.Undo",
                                "$values": [
                                  {
                                    "$ref": "133"
                                  }
                                ]
                              },
                              "IsOpeningBalance": false,
                              "ExternalLinks": {
                                "$type": "UINext.Collections.DeepObservableCollection`1[[ExternalLinks.IExternalDataLink, ExternalLinks]], UINext",
                                "$values": []
                              },
                              "HasUnits": true,
                              "UnitsValid": true,
                              "UnitsErrorMessage": "",
                              "IgnoreUnitIssues": false,
                              "IsPlaceholder": false,
                              "StandardName": 0,
                              "IsStandardNode": false,
                              "WarnMessage": null,
                              "HasStandardDescription": false,
                              "HasStandardName": false,
                              "OptimisationNodePair": null,
                              "IsOptimisationNode": false,
                              "Actuals": null,
                              "UDFCode": null,
                              "AssociatedOptimisationNodes": null,
                              "CustomNamedRange": null,
                              "IsRowTotal": false,
                              "YPosition": 4,
                              "Parent": {
                                "$ref": "1"
                              },
                              "Visible": true,
                              "Font": null,
                              "AllowIncomingLinks": true,
                              "AllowOutgoingLinks": true,
                              "IncomingLinks": {
                                "$type": "System.Collections.ObjectModel.Collection`1[[ModelMaker.MMLink, ModelMaker]], mscorlib",
                                "$values": []
                              },
                              "OutgoingLinks": {
                                "$type": "System.Collections.ObjectModel.Collection`1[[ModelMaker.MMLink, ModelMaker]], mscorlib",
                                "$values": []
                              },
                              "Issues": null
                            },
                            "OpeningBalanceFlagAppliedName": "",
                            "SumOfAboveIncludesPreviousTotal": false,
                            "LastNameUsed": null,
                            "SwitchSignForReport": false,
                            "IsSumOfAbove": false,
                            "ParentReport": {
                              "$ref": "6"
                            },
                            "HeadingLevel": 0,
                            "ReportFormatName": null,
                            "YPosition": -1,
                            "Visible": true,
                            "Font": null,
                            "AllowIncomingLinks": true,
                            "AllowOutgoingLinks": true,
                            "Deletable": true,
                            "Issues": null
                          },
                          {
                            "$id": "135",
                            "$type": "ModelMaker.ReportLine, ModelMaker",
                            "AssociatedSchematicNode": {
                              "$id": "136",
                              "$type": "ModelMaker.VariableNode, ModelMaker",
                              "RowTotalDependent": null,
                              "PutCalculationOnReport": false,
                              "CalculateOnThisReport": null,
                              "PivotTableLink": null,
                              "ExcelNameName": "Proceeds_to_Studio_Cofounder",
                              "ExcelNameNames": {
                                "$type": "ModelMakerEngine.ExcelNameDictionary, ModelMakerEngine",
                                "$values": []
                              },
                              "NumberFormatOverride": null,
                              "HasOpeningBalanceFlag": false,
                              "OpeningBalanceFlagAppliedName": "",
                              "Deletable": true,
                              "Comment": "",
                              "HasSwitchSignLine": false,
                              "SwitchSignForReport": false,
                              "MultipleInputValues": null,
                              "NonPrimaryInput": false,
                              "Max": "NaN",
                              "Min": "NaN",
                              "IsBalanceButNotCorkscrew": false,
                              "IsEditable": true,
                              "IsConstant": false,
                              "UniqueID": "d913332c-2cd8-42c1-9d7c-4f3927424e77",
                              "Dimensions": {
                                "$type": "ModelMakerEngine.MMDimensions, ModelMakerEngine",
                                "$values": []
                              },
                              "EquationOBXInternal": "[Proceeds After Loan Repayment]*[Studio Cofounder %]",
                              "NameOfGroup": "Company Capital Structure.Exit",
                              "EquationToParse": "[Proceeds After Loan Repayment]*[Studio Cofounder %]",
                              "MostRecentExpectedUnitErrors": null,
                              "Units": {
                                "$id": "137",
                                "$type": "ModelMaker.Unit, ModelMaker",
                                "NumberFormatOverride": null,
                                "MatchAnything": false,
                                "ExternalRepresentation": "GBP",
                                "ItemsOnTop": {
                                  "$type": "System.Collections.Generic.List`1[[System.String, mscorlib]], mscorlib",
                                  "$values": [
                                    "GBP"
                                  ]
                                },
                                "ItemsOnBottom": {
                                  "$type": "System.Collections.Generic.List`1[[System.String, mscorlib]], mscorlib",
                                  "$values": []
                                },
                                "IsCurrency": false,
                                "ContainsSMU": false,
                                "IsDimensionless": false,
                                "InsertRowTotal": true,
                                "IgnoreWhenDeterminingExpectedUnits": false
                              },
                              "Name": "Proceeds to Studio Cofounder",
                              "ReportLines": {
                                "$type": "ModelMaker.UndoableCollection`1[[ModelMakerEngine.IReportLine, ModelMakerEngine]], ModelMaker.Undo",
                                "$values": [
                                  {
                                    "$ref": "135"
                                  }
                                ]
                              },
                              "IsOpeningBalance": false,
                              "ExternalLinks": {
                                "$type": "UINext.Collections.DeepObservableCollection`1[[ExternalLinks.IExternalDataLink, ExternalLinks]], UINext",
                                "$values": []
                              },
                              "HasUnits": true,
                              "UnitsValid": true,
                              "UnitsErrorMessage": "",
                              "IgnoreUnitIssues": false,
                              "IsPlaceholder": false,
                              "StandardName": 0,
                              "IsStandardNode": false,
                              "WarnMessage": null,
                              "HasStandardDescription": false,
                              "HasStandardName": false,
                              "OptimisationNodePair": null,
                              "IsOptimisationNode": false,
                              "Actuals": null,
                              "UDFCode": null,
                              "AssociatedOptimisationNodes": null,
                              "CustomNamedRange": null,
                              "IsRowTotal": false,
                              "YPosition": 5,
                              "Parent": {
                                "$ref": "1"
                              },
                              "Visible": true,
                              "Font": null,
                              "AllowIncomingLinks": true,
                              "AllowOutgoingLinks": true,
                              "IncomingLinks": {
                                "$type": "System.Collections.ObjectModel.Collection`1[[ModelMaker.MMLink, ModelMaker]], mscorlib",
                                "$values": []
                              },
                              "OutgoingLinks": {
                                "$type": "System.Collections.ObjectModel.Collection`1[[ModelMaker.MMLink, ModelMaker]], mscorlib",
                                "$values": []
                              },
                              "Issues": null
                            },
                            "OpeningBalanceFlagAppliedName": "",
                            "SumOfAboveIncludesPreviousTotal": false,
                            "LastNameUsed": null,
                            "SwitchSignForReport": false,
                            "IsSumOfAbove": false,
                            "ParentReport": {
                              "$ref": "6"
                            },
                            "HeadingLevel": 0,
                            "ReportFormatName": null,
                            "YPosition": -1,
                            "Visible": true,
                            "Font": null,
                            "AllowIncomingLinks": true,
                            "AllowOutgoingLinks": true,
                            "Deletable": true,
                            "Issues": null
                          },
                          {
                            "$id": "138",
                            "$type": "ModelMaker.ReportLine, ModelMaker",
                            "AssociatedSchematicNode": {
                              "$id": "139",
                              "$type": "ModelMaker.VariableNode, ModelMaker",
                              "RowTotalDependent": null,
                              "PutCalculationOnReport": false,
                              "CalculateOnThisReport": null,
                              "PivotTableLink": null,
                              "ExcelNameName": "Proceeds_to_Investor_Cofounder",
                              "ExcelNameNames": {
                                "$type": "ModelMakerEngine.ExcelNameDictionary, ModelMakerEngine",
                                "$values": []
                              },
                              "NumberFormatOverride": null,
                              "HasOpeningBalanceFlag": false,
                              "OpeningBalanceFlagAppliedName": "",
                              "Deletable": true,
                              "Comment": "",
                              "HasSwitchSignLine": false,
                              "SwitchSignForReport": false,
                              "MultipleInputValues": null,
                              "NonPrimaryInput": false,
                              "Max": "NaN",
                              "Min": "NaN",
                              "IsBalanceButNotCorkscrew": false,
                              "IsEditable": true,
                              "IsConstant": false,
                              "UniqueID": "101c97b5-c7ae-4e21-ba83-de2388202bd3",
                              "Dimensions": {
                                "$type": "ModelMakerEngine.MMDimensions, ModelMakerEngine",
                                "$values": []
                              },
                              "EquationOBXInternal": "[Proceeds After Loan Repayment]*[Investor Cofounder %]",
                              "NameOfGroup": "Company Capital Structure.Exit",
                              "EquationToParse": "[Proceeds After Loan Repayment]*[Investor Cofounder %]",
                              "MostRecentExpectedUnitErrors": null,
                              "Units": {
                                "$id": "140",
                                "$type": "ModelMaker.Unit, ModelMaker",
                                "NumberFormatOverride": null,
                                "MatchAnything": false,
                                "ExternalRepresentation": "GBP",
                                "ItemsOnTop": {
                                  "$type": "System.Collections.Generic.List`1[[System.String, mscorlib]], mscorlib",
                                  "$values": [
                                    "GBP"
                                  ]
                                },
                                "ItemsOnBottom": {
                                  "$type": "System.Collections.Generic.List`1[[System.String, mscorlib]], mscorlib",
                                  "$values": []
                                },
                                "IsCurrency": false,
                                "ContainsSMU": false,
                                "IsDimensionless": false,
                                "InsertRowTotal": true,
                                "IgnoreWhenDeterminingExpectedUnits": false
                              },
                              "Name": "Proceeds to Investor Cofounder",
                              "ReportLines": {
                                "$type": "ModelMaker.UndoableCollection`1[[ModelMakerEngine.IReportLine, ModelMakerEngine]], ModelMaker.Undo",
                                "$values": [
                                  {
                                    "$ref": "138"
                                  }
                                ]
                              },
                              "IsOpeningBalance": false,
                              "ExternalLinks": {
                                "$type": "UINext.Collections.DeepObservableCollection`1[[ExternalLinks.IExternalDataLink, ExternalLinks]], UINext",
                                "$values": []
                              },
                              "HasUnits": true,
                              "UnitsValid": true,
                              "UnitsErrorMessage": "",
                              "IgnoreUnitIssues": false,
                              "IsPlaceholder": false,
                              "StandardName": 0,
                              "IsStandardNode": false,
                              "WarnMessage": null,
                              "HasStandardDescription": false,
                              "HasStandardName": false,
                              "OptimisationNodePair": null,
                              "IsOptimisationNode": false,
                              "Actuals": null,
                              "UDFCode": null,
                              "AssociatedOptimisationNodes": null,
                              "CustomNamedRange": null,
                              "IsRowTotal": false,
                              "YPosition": 6,
                              "Parent": {
                                "$ref": "1"
                              },
                              "Visible": true,
                              "Font": null,
                              "AllowIncomingLinks": true,
                              "AllowOutgoingLinks": true,
                              "IncomingLinks": {
                                "$type": "System.Collections.ObjectModel.Collection`1[[ModelMaker.MMLink, ModelMaker]], mscorlib",
                                "$values": []
                              },
                              "OutgoingLinks": {
                                "$type": "System.Collections.ObjectModel.Collection`1[[ModelMaker.MMLink, ModelMaker]], mscorlib",
                                "$values": []
                              },
                              "Issues": null
                            },
                            "OpeningBalanceFlagAppliedName": "",
                            "SumOfAboveIncludesPreviousTotal": false,
                            "LastNameUsed": null,
                            "SwitchSignForReport": false,
                            "IsSumOfAbove": false,
                            "ParentReport": {
                              "$ref": "6"
                            },
                            "HeadingLevel": 0,
                            "ReportFormatName": null,
                            "YPosition": -1,
                            "Visible": true,
                            "Font": null,
                            "AllowIncomingLinks": true,
                            "AllowOutgoingLinks": true,
                            "Deletable": true,
                            "Issues": null
                          },
                          {
                            "$id": "141",
                            "$type": "ModelMaker.ReportLine, ModelMaker",
                            "AssociatedSchematicNode": {
                              "$id": "142",
                              "$type": "ModelMaker.VariableNode, ModelMaker",
                              "RowTotalDependent": null,
                              "PutCalculationOnReport": false,
                              "CalculateOnThisReport": null,
                              "PivotTableLink": null,
                              "ExcelNameName": "Proceeds_to_Other_Investor",
                              "ExcelNameNames": {
                                "$type": "ModelMakerEngine.ExcelNameDictionary, ModelMakerEngine",
                                "$values": []
                              },
                              "NumberFormatOverride": null,
                              "HasOpeningBalanceFlag": false,
                              "OpeningBalanceFlagAppliedName": "",
                              "Deletable": true,
                              "Comment": "",
                              "HasSwitchSignLine": false,
                              "SwitchSignForReport": false,
                              "MultipleInputValues": null,
                              "NonPrimaryInput": false,
                              "Max": "NaN",
                              "Min": "NaN",
                              "IsBalanceButNotCorkscrew": false,
                              "IsEditable": true,
                              "IsConstant": false,
                              "UniqueID": "f9014cd1-9640-4868-911b-257393fddc49",
                              "Dimensions": {
                                "$type": "ModelMakerEngine.MMDimensions, ModelMakerEngine",
                                "$values": []
                              },
                              "EquationOBXInternal": "[Proceeds After Loan Repayment]*[Other Investor %]",
                              "NameOfGroup": "Company Capital Structure.Exit",
                              "EquationToParse": "[Proceeds After Loan Repayment]*[Other Investor %]",
                              "MostRecentExpectedUnitErrors": null,
                              "Units": {
                                "$id": "143",
                                "$type": "ModelMaker.Unit, ModelMaker",
                                "NumberFormatOverride": null,
                                "MatchAnything": false,
                                "ExternalRepresentation": "GBP",
                                "ItemsOnTop": {
                                  "$type": "System.Collections.Generic.List`1[[System.String, mscorlib]], mscorlib",
                                  "$values": [
                                    "GBP"
                                  ]
                                },
                                "ItemsOnBottom": {
                                  "$type": "System.Collections.Generic.List`1[[System.String, mscorlib]], mscorlib",
                                  "$values": []
                                },
                                "IsCurrency": false,
                                "ContainsSMU": false,
                                "IsDimensionless": false,
                                "InsertRowTotal": true,
                                "IgnoreWhenDeterminingExpectedUnits": false
                              },
                              "Name": "Proceeds to Other Investor",
                              "ReportLines": {
                                "$type": "ModelMaker.UndoableCollection`1[[ModelMakerEngine.IReportLine, ModelMakerEngine]], ModelMaker.Undo",
                                "$values": [
                                  {
                                    "$ref": "141"
                                  }
                                ]
                              },
                              "IsOpeningBalance": false,
                              "ExternalLinks": {
                                "$type": "UINext.Collections.DeepObservableCollection`1[[ExternalLinks.IExternalDataLink, ExternalLinks]], UINext",
                                "$values": []
                              },
                              "HasUnits": true,
                              "UnitsValid": true,
                              "UnitsErrorMessage": "",
                              "IgnoreUnitIssues": false,
                              "IsPlaceholder": false,
                              "StandardName": 0,
                              "IsStandardNode": false,
                              "WarnMessage": null,
                              "HasStandardDescription": false,
                              "HasStandardName": false,
                              "OptimisationNodePair": null,
                              "IsOptimisationNode": false,
                              "Actuals": null,
                              "UDFCode": null,
                              "AssociatedOptimisationNodes": null,
                              "CustomNamedRange": null,
                              "IsRowTotal": false,
                              "YPosition": 7,
                              "Parent": {
                                "$ref": "1"
                              },
                              "Visible": true,
                              "Font": null,
                              "AllowIncomingLinks": true,
                              "AllowOutgoingLinks": true,
                              "IncomingLinks": {
                                "$type": "System.Collections.ObjectModel.Collection`1[[ModelMaker.MMLink, ModelMaker]], mscorlib",
                                "$values": []
                              },
                              "OutgoingLinks": {
                                "$type": "System.Collections.ObjectModel.Collection`1[[ModelMaker.MMLink, ModelMaker]], mscorlib",
                                "$values": []
                              },
                              "Issues": null
                            },
                            "OpeningBalanceFlagAppliedName": "",
                            "SumOfAboveIncludesPreviousTotal": false,
                            "LastNameUsed": null,
                            "SwitchSignForReport": false,
                            "IsSumOfAbove": false,
                            "ParentReport": {
                              "$ref": "6"
                            },
                            "HeadingLevel": 0,
                            "ReportFormatName": null,
                            "YPosition": -1,
                            "Visible": true,
                            "Font": null,
                            "AllowIncomingLinks": true,
                            "AllowOutgoingLinks": true,
                            "Deletable": true,
                            "Issues": null
                          },
                          {
                            "$id": "144",
                            "$type": "ModelMaker.ReportLine, ModelMaker",
                            "AssociatedSchematicNode": {
                              "$id": "145",
                              "$type": "ModelMaker.VariableNode, ModelMaker",
                              "RowTotalDependent": null,
                              "PutCalculationOnReport": false,
                              "CalculateOnThisReport": null,
                              "PivotTableLink": null,
                              "ExcelNameName": "Total_Exit_Proceeds",
                              "ExcelNameNames": {
                                "$type": "ModelMakerEngine.ExcelNameDictionary, ModelMakerEngine",
                                "$values": []
                              },
                              "NumberFormatOverride": null,
                              "HasOpeningBalanceFlag": false,
                              "OpeningBalanceFlagAppliedName": "",
                              "Deletable": true,
                              "Comment": "",
                              "HasSwitchSignLine": false,
                              "SwitchSignForReport": false,
                              "MultipleInputValues": null,
                              "NonPrimaryInput": false,
                              "Max": "NaN",
                              "Min": "NaN",
                              "IsBalanceButNotCorkscrew": false,
                              "IsEditable": false,
                              "IsConstant": false,
                              "UniqueID": "bd8532d3-1d2e-4bac-afb2-1e3fc9f6f95b",
                              "Dimensions": {
                                "$type": "ModelMakerEngine.MMDimensions, ModelMakerEngine",
                                "$values": []
                              },
                              "EquationOBXInternal": "",
                              "NameOfGroup": "Defect",
                              "EquationToParse": "",
                              "MostRecentExpectedUnitErrors": null,
                              "Units": {
                                "$ref": "2"
                              },
                              "Name": "Total Exit Proceeds",
                              "ReportLines": {
                                "$type": "ModelMaker.UndoableCollection`1[[ModelMakerEngine.IReportLine, ModelMakerEngine]], ModelMaker.Undo",
                                "$values": [
                                  {
                                    "$ref": "144"
                                  }
                                ]
                              },
                              "IsOpeningBalance": false,
                              "ExternalLinks": {
                                "$type": "UINext.Collections.DeepObservableCollection`1[[ExternalLinks.IExternalDataLink, ExternalLinks]], UINext",
                                "$values": []
                              },
                              "HasUnits": true,
                              "UnitsValid": true,
                              "UnitsErrorMessage": "",
                              "IgnoreUnitIssues": false,
                              "IsPlaceholder": false,
                              "StandardName": 0,
                              "IsStandardNode": false,
                              "WarnMessage": null,
                              "HasStandardDescription": false,
                              "HasStandardName": false,
                              "OptimisationNodePair": null,
                              "IsOptimisationNode": false,
                              "Actuals": null,
                              "UDFCode": null,
                              "AssociatedOptimisationNodes": null,
                              "CustomNamedRange": null,
                              "IsRowTotal": false,
                              "YPosition": 3,
                              "Parent": {
                                "$ref": "1"
                              },
                              "Visible": true,
                              "Font": null,
                              "AllowIncomingLinks": true,
                              "AllowOutgoingLinks": true,
                              "IncomingLinks": {
                                "$type": "System.Collections.ObjectModel.Collection`1[[ModelMaker.MMLink, ModelMaker]], mscorlib",
                                "$values": []
                              },
                              "OutgoingLinks": {
                                "$type": "System.Collections.ObjectModel.Collection`1[[ModelMaker.MMLink, ModelMaker]], mscorlib",
                                "$values": []
                              },
                              "Issues": null
                            },
                            "OpeningBalanceFlagAppliedName": "",
                            "SumOfAboveIncludesPreviousTotal": false,
                            "LastNameUsed": null,
                            "SwitchSignForReport": false,
                            "IsSumOfAbove": true,
                            "ParentReport": {
                              "$ref": "6"
                            },
                            "HeadingLevel": 0,
                            "ReportFormatName": null,
                            "YPosition": -1,
                            "Visible": true,
                            "Font": null,
                            "AllowIncomingLinks": true,
                            "AllowOutgoingLinks": true,
                            "Deletable": true,
                            "Issues": null
                          }
                        ]
                      },
                      "AllowIncomingLinks": false,
                      "AllowOutgoingLinks": false,
                      "YPosition": -1,
                      "Name": "Company Report",
                      "Parent": {
                        "$ref": "1"
                      },
                      "Visible": true,
                      "ToolTip": "",
                      "OpeningBalanceFlagAppliedName": "",
                      "Font": null,
                      "IncomingLinks": {
                        "$type": "System.Collections.ObjectModel.Collection`1[[ModelMaker.MMLink, ModelMaker]], mscorlib",
                        "$values": []
                      },
                      "OutgoingLinks": {
                        "$type": "System.Collections.ObjectModel.Collection`1[[ModelMaker.MMLink, ModelMaker]], mscorlib",
                        "$values": []
                      },
                      "Deletable": true,
                      "Issues": null
                    },
                    "HeadingLevel": 0,
                    "ReportFormatName": null,
                    "YPosition": -1,
                    "Visible": true,
                    "Font": null,
                    "AllowIncomingLinks": true,
                    "AllowOutgoingLinks": true,
                    "Deletable": true,
                    "Issues": null
                  }
                ]
              },
              "IsOpeningBalance": false,
              "ExternalLinks": {
                "$type": "UINext.Collections.DeepObservableCollection`1[[ExternalLinks.IExternalDataLink, ExternalLinks]], UINext",
                "$values": []
              },
              "HasUnits": true,
              "UnitsValid": true,
              "UnitsErrorMessage": "",
              "IgnoreUnitIssues": false,
              "IsPlaceholder": false,
              "StandardName": 0,
              "IsStandardNode": false,
              "WarnMessage": null,
              "HasStandardDescription": false,
              "HasStandardName": false,
              "OptimisationNodePair": null,
              "IsOptimisationNode": false,
              "Actuals": null,
              "UDFCode": null,
              "AssociatedOptimisationNodes": null,
              "CustomNamedRange": null,
              "IsRowTotal": false,
              "YPosition": 0,
              "Parent": {
                "$ref": "1"
              },
              "Visible": true,
              "Font": null,
              "AllowIncomingLinks": true,
              "AllowOutgoingLinks": true,
              "IncomingLinks": {
                "$type": "System.Collections.ObjectModel.Collection`1[[ModelMaker.MMLink, ModelMaker]], mscorlib",
                "$values": []
              },
              "OutgoingLinks": {
                "$type": "System.Collections.ObjectModel.Collection`1[[ModelMaker.MMLink, ModelMaker]], mscorlib",
                "$values": []
              },
              "Issues": null
            },
            {
              "$ref": "98"
            },
            {
              "$ref": "94"
            },
            {
              "$ref": "145"
            },
            {
              "$ref": "37"
            }
          ]
        },
        "AllowAddChildren": true,
        "AllowRemoveChildren": true,
        "IsImported": false,
        "IsChecksGroup": false,
        "IsAlertsGroup": false,
        "IsChecksAndAlertsGroup": false,
        "IsUnallocatedGroup": true,
        "IsInputsGroup": false,
        "IsFlag": false,
        "IsTimeAndFlagsGroup": false,
        "DimensionsAcross": {
          "$type": "ModelMakerEngine.MMDimensions, ModelMakerEngine",
          "$values": []
        },
        "TimeAxis": 0,
        "IndexInParent": 0,
        "Name": "Defect",
        "Parent": {
          "$ref": "1"
        },
        "Visible": true,
        "ToolTip": "",
        "OpeningBalanceFlagAppliedName": "",
        "AllowIncomingLinks": false,
        "AllowOutgoingLinks": false,
        "IncomingLinks": {
          "$type": "System.Collections.ObjectModel.Collection`1[[ModelMaker.MMLink, ModelMaker]], mscorlib",
          "$values": []
        },
        "OutgoingLinks": {
          "$type": "System.Collections.ObjectModel.Collection`1[[ModelMaker.MMLink, ModelMaker]], mscorlib",
          "$values": []
        },
        "Deletable": false,
        "Issues": null
      },
      {
        "$id": "146",
        "$type": "ModelMaker.GroupNode, ModelMaker",
        "TabOrHeaderColour": "",
        "Comment": "",
        "NameOfGroup": null,
        "YPosition": 0,
        "Folded": false,
        "Font": null,
        "Children": {
          "$type": "ModelMaker.GroupNodeChildCollection, ModelMaker",
          "$values": [
            {
              "$id": "147",
              "$type": "ModelMaker.VariableNode, ModelMaker",
              "RowTotalDependent": null,
              "PutCalculationOnReport": false,
              "CalculateOnThisReport": null,
              "PivotTableLink": null,
              "ExcelNameName": "Start_date",
              "ExcelNameNames": {
                "$type": "ModelMakerEngine.ExcelNameDictionary, ModelMakerEngine",
                "$values": []
              },
              "NumberFormatOverride": null,
              "HasOpeningBalanceFlag": false,
              "OpeningBalanceFlagAppliedName": "",
              "Deletable": false,
              "Comment": "",
              "HasSwitchSignLine": false,
              "SwitchSignForReport": false,
              "MultipleInputValues": null,
              "NonPrimaryInput": false,
              "Max": "NaN",
              "Min": "NaN",
              "IsBalanceButNotCorkscrew": false,
              "IsEditable": true,
              "IsConstant": true,
              "UniqueID": "3c77b01b-78e3-44d9-be3a-886c1b021192",
              "Dimensions": {
                "$type": "ModelMakerEngine.MMDimensions, ModelMakerEngine",
                "$values": []
              },
              "EquationOBXInternal": "45170",
              "NameOfGroup": "Inputs",
              "EquationToParse": "45170",
              "MostRecentExpectedUnitErrors": null,
              "Units": {
                "$id": "148",
                "$type": "ModelMaker.Unit, ModelMaker",
                "NumberFormatOverride": null,
                "MatchAnything": false,
                "ExternalRepresentation": "date",
                "ItemsOnTop": {
                  "$type": "System.Collections.Generic.List`1[[System.String, mscorlib]], mscorlib",
                  "$values": [
                    "DATE"
                  ]
                },
                "ItemsOnBottom": {
                  "$type": "System.Collections.Generic.List`1[[System.String, mscorlib]], mscorlib",
                  "$values": []
                },
                "IsCurrency": false,
                "ContainsSMU": false,
                "IsDimensionless": false,
                "InsertRowTotal": true,
                "IgnoreWhenDeterminingExpectedUnits": false
              },
              "Name": "Start date",
              "ReportLines": {
                "$type": "ModelMaker.UndoableCollection`1[[ModelMakerEngine.IReportLine, ModelMakerEngine]], ModelMaker.Undo",
                "$values": []
              },
              "IsOpeningBalance": false,
              "ExternalLinks": {
                "$type": "UINext.Collections.DeepObservableCollection`1[[ExternalLinks.IExternalDataLink, ExternalLinks]], UINext",
                "$values": []
              },
              "HasUnits": true,
              "UnitsValid": true,
              "UnitsErrorMessage": "",
              "IgnoreUnitIssues": false,
              "IsPlaceholder": false,
              "StandardName": 7,
              "IsStandardNode": true,
              "WarnMessage": null,
              "HasStandardDescription": false,
              "HasStandardName": true,
              "OptimisationNodePair": null,
              "IsOptimisationNode": false,
              "Actuals": null,
              "UDFCode": null,
              "AssociatedOptimisationNodes": null,
              "CustomNamedRange": null,
              "IsRowTotal": false,
              "YPosition": 0,
              "Parent": {
                "$ref": "1"
              },
              "Visible": true,
              "Font": null,
              "AllowIncomingLinks": true,
              "AllowOutgoingLinks": true,
              "IncomingLinks": {
                "$type": "System.Collections.ObjectModel.Collection`1[[ModelMaker.MMLink, ModelMaker]], mscorlib",
                "$values": []
              },
              "OutgoingLinks": {
                "$type": "System.Collections.ObjectModel.Collection`1[[ModelMaker.MMLink, ModelMaker]], mscorlib",
                "$values": []
              },
              "Issues": null
            },
            {
              "$id": "149",
              "$type": "ModelMaker.VariableNode, ModelMaker",
              "RowTotalDependent": null,
              "PutCalculationOnReport": false,
              "CalculateOnThisReport": null,
              "PivotTableLink": null,
              "ExcelNameName": "Financial_year_end_month",
              "ExcelNameNames": {
                "$type": "ModelMakerEngine.ExcelNameDictionary, ModelMakerEngine",
                "$values": []
              },
              "NumberFormatOverride": null,
              "HasOpeningBalanceFlag": false,
              "OpeningBalanceFlagAppliedName": "",
              "Deletable": false,
              "Comment": "",
              "HasSwitchSignLine": false,
              "SwitchSignForReport": false,
              "MultipleInputValues": null,
              "NonPrimaryInput": false,
              "Max": "NaN",
              "Min": "NaN",
              "IsBalanceButNotCorkscrew": false,
              "IsEditable": true,
              "IsConstant": true,
              "UniqueID": "c067fcc9-9a66-465d-9b85-9c6c6eaef4e5",
              "Dimensions": {
                "$type": "ModelMakerEngine.MMDimensions, ModelMakerEngine",
                "$values": []
              },
              "EquationOBXInternal": "8",
              "NameOfGroup": "Inputs",
              "EquationToParse": "8",
              "MostRecentExpectedUnitErrors": null,
              "Units": {
                "$ref": "2"
              },
              "Name": "Financial year end month",
              "ReportLines": {
                "$type": "ModelMaker.UndoableCollection`1[[ModelMakerEngine.IReportLine, ModelMakerEngine]], ModelMaker.Undo",
                "$values": []
              },
              "IsOpeningBalance": false,
              "ExternalLinks": {
                "$type": "UINext.Collections.DeepObservableCollection`1[[ExternalLinks.IExternalDataLink, ExternalLinks]], UINext",
                "$values": []
              },
              "HasUnits": true,
              "UnitsValid": true,
              "UnitsErrorMessage": "",
              "IgnoreUnitIssues": false,
              "IsPlaceholder": false,
              "StandardName": 6,
              "IsStandardNode": true,
              "WarnMessage": null,
              "HasStandardDescription": false,
              "HasStandardName": true,
              "OptimisationNodePair": null,
              "IsOptimisationNode": false,
              "Actuals": null,
              "UDFCode": null,
              "AssociatedOptimisationNodes": null,
              "CustomNamedRange": null,
              "IsRowTotal": false,
              "YPosition": 1,
              "Parent": {
                "$ref": "1"
              },
              "Visible": true,
              "Font": null,
              "AllowIncomingLinks": true,
              "AllowOutgoingLinks": true,
              "IncomingLinks": {
                "$type": "System.Collections.ObjectModel.Collection`1[[ModelMaker.MMLink, ModelMaker]], mscorlib",
                "$values": []
              },
              "OutgoingLinks": {
                "$type": "System.Collections.ObjectModel.Collection`1[[ModelMaker.MMLink, ModelMaker]], mscorlib",
                "$values": []
              },
              "Issues": null
            },
            {
              "$id": "150",
              "$type": "ModelMaker.VariableNode, ModelMaker",
              "RowTotalDependent": null,
              "PutCalculationOnReport": false,
              "CalculateOnThisReport": null,
              "PivotTableLink": null,
              "ExcelNameName": "Months_per_period",
              "ExcelNameNames": {
                "$type": "ModelMakerEngine.ExcelNameDictionary, ModelMakerEngine",
                "$values": []
              },
              "NumberFormatOverride": null,
              "HasOpeningBalanceFlag": false,
              "OpeningBalanceFlagAppliedName": "",
              "Deletable": false,
              "Comment": "",
              "HasSwitchSignLine": false,
              "SwitchSignForReport": false,
              "MultipleInputValues": null,
              "NonPrimaryInput": false,
              "Max": "NaN",
              "Min": "NaN",
              "IsBalanceButNotCorkscrew": false,
              "IsEditable": true,
              "IsConstant": true,
              "UniqueID": "d1683086-d0d3-4c46-ad30-195fabe3fe5c",
              "Dimensions": {
                "$type": "ModelMakerEngine.MMDimensions, ModelMakerEngine",
                "$values": []
              },
              "EquationOBXInternal": "12",
              "NameOfGroup": "Inputs",
              "EquationToParse": "12",
              "MostRecentExpectedUnitErrors": null,
              "Units": {
                "$id": "151",
                "$type": "ModelMaker.Unit, ModelMaker",
                "NumberFormatOverride": null,
                "MatchAnything": false,
                "ExternalRepresentation": "Months",
                "ItemsOnTop": {
                  "$type": "System.Collections.Generic.List`1[[System.String, mscorlib]], mscorlib",
                  "$values": [
                    "month"
                  ]
                },
                "ItemsOnBottom": {
                  "$type": "System.Collections.Generic.List`1[[System.String, mscorlib]], mscorlib",
                  "$values": []
                },
                "IsCurrency": false,
                "ContainsSMU": false,
                "IsDimensionless": false,
                "InsertRowTotal": true,
                "IgnoreWhenDeterminingExpectedUnits": false
              },
              "Name": "Months per period",
              "ReportLines": {
                "$type": "ModelMaker.UndoableCollection`1[[ModelMakerEngine.IReportLine, ModelMakerEngine]], ModelMaker.Undo",
                "$values": []
              },
              "IsOpeningBalance": false,
              "ExternalLinks": {
                "$type": "UINext.Collections.DeepObservableCollection`1[[ExternalLinks.IExternalDataLink, ExternalLinks]], UINext",
                "$values": []
              },
              "HasUnits": true,
              "UnitsValid": true,
              "UnitsErrorMessage": "",
              "IgnoreUnitIssues": false,
              "IsPlaceholder": false,
              "StandardName": 11,
              "IsStandardNode": true,
              "WarnMessage": null,
              "HasStandardDescription": false,
              "HasStandardName": true,
              "OptimisationNodePair": null,
              "IsOptimisationNode": false,
              "Actuals": null,
              "UDFCode": null,
              "AssociatedOptimisationNodes": null,
              "CustomNamedRange": null,
              "IsRowTotal": false,
              "YPosition": 2,
              "Parent": {
                "$ref": "1"
              },
              "Visible": true,
              "Font": null,
              "AllowIncomingLinks": true,
              "AllowOutgoingLinks": true,
              "IncomingLinks": {
                "$type": "System.Collections.ObjectModel.Collection`1[[ModelMaker.MMLink, ModelMaker]], mscorlib",
                "$values": []
              },
              "OutgoingLinks": {
                "$type": "System.Collections.ObjectModel.Collection`1[[ModelMaker.MMLink, ModelMaker]], mscorlib",
                "$values": []
              },
              "Issues": null
            },
            {
              "$id": "152",
              "$type": "ModelMaker.VariableNode, ModelMaker",
              "RowTotalDependent": null,
              "PutCalculationOnReport": false,
              "CalculateOnThisReport": null,
              "PivotTableLink": null,
              "ExcelNameName": "Periods_per_Year",
              "ExcelNameNames": {
                "$type": "ModelMakerEngine.ExcelNameDictionary, ModelMakerEngine",
                "$values": []
              },
              "NumberFormatOverride": null,
              "HasOpeningBalanceFlag": false,
              "OpeningBalanceFlagAppliedName": "",
              "Deletable": true,
              "Comment": "",
              "HasSwitchSignLine": false,
              "SwitchSignForReport": false,
              "MultipleInputValues": null,
              "NonPrimaryInput": false,
              "Max": "NaN",
              "Min": "NaN",
              "IsBalanceButNotCorkscrew": false,
              "IsEditable": true,
              "IsConstant": true,
              "UniqueID": "ee2721e7-b4e3-47f9-ba49-f4f03e2b4b7f",
              "Dimensions": {
                "$type": "ModelMakerEngine.MMDimensions, ModelMakerEngine",
                "$values": []
              },
              "EquationOBXInternal": "1",
              "NameOfGroup": "Inputs",
              "EquationToParse": "1",
              "MostRecentExpectedUnitErrors": null,
              "Units": {
                "$id": "153",
                "$type": "ModelMaker.Unit, ModelMaker",
                "NumberFormatOverride": null,
                "MatchAnything": false,
                "ExternalRepresentation": "Months",
                "ItemsOnTop": {
                  "$type": "System.Collections.Generic.List`1[[System.String, mscorlib]], mscorlib",
                  "$values": [
                    "month"
                  ]
                },
                "ItemsOnBottom": {
                  "$type": "System.Collections.Generic.List`1[[System.String, mscorlib]], mscorlib",
                  "$values": []
                },
                "IsCurrency": false,
                "ContainsSMU": false,
                "IsDimensionless": false,
                "InsertRowTotal": true,
                "IgnoreWhenDeterminingExpectedUnits": false
              },
              "Name": "Periods per Year",
              "ReportLines": {
                "$type": "ModelMaker.UndoableCollection`1[[ModelMakerEngine.IReportLine, ModelMakerEngine]], ModelMaker.Undo",
                "$values": []
              },
              "IsOpeningBalance": false,
              "ExternalLinks": {
                "$type": "UINext.Collections.DeepObservableCollection`1[[ExternalLinks.IExternalDataLink, ExternalLinks]], UINext",
                "$values": []
              },
              "HasUnits": true,
              "UnitsValid": true,
              "UnitsErrorMessage": "",
              "IgnoreUnitIssues": false,
              "IsPlaceholder": false,
              "StandardName": 0,
              "IsStandardNode": false,
              "WarnMessage": null,
              "HasStandardDescription": false,
              "HasStandardName": false,
              "OptimisationNodePair": null,
              "IsOptimisationNode": false,
              "Actuals": null,
              "UDFCode": null,
              "AssociatedOptimisationNodes": null,
              "CustomNamedRange": null,
              "IsRowTotal": false,
              "YPosition": 3,
              "Parent": {
                "$ref": "1"
              },
              "Visible": true,
              "Font": null,
              "AllowIncomingLinks": true,
              "AllowOutgoingLinks": true,
              "IncomingLinks": {
                "$type": "System.Collections.ObjectModel.Collection`1[[ModelMaker.MMLink, ModelMaker]], mscorlib",
                "$values": []
              },
              "OutgoingLinks": {
                "$type": "System.Collections.ObjectModel.Collection`1[[ModelMaker.MMLink, ModelMaker]], mscorlib",
                "$values": []
              },
              "Issues": null
            },
            {
              "$id": "154",
              "$type": "ModelMaker.GroupNode, ModelMaker",
              "TabOrHeaderColour": "",
              "Comment": "",
              "NameOfGroup": "Inputs",
              "YPosition": 4,
              "Folded": true,
              "Font": null,
              "Children": {
                "$type": "ModelMaker.GroupNodeChildCollection, ModelMaker",
                "$values": []
              },
              "AllowAddChildren": true,
              "AllowRemoveChildren": true,
              "IsImported": false,
              "IsChecksGroup": false,
              "IsAlertsGroup": false,
              "IsChecksAndAlertsGroup": false,
              "IsUnallocatedGroup": false,
              "IsInputsGroup": false,
              "IsFlag": false,
              "IsTimeAndFlagsGroup": false,
              "DimensionsAcross": {
                "$type": "ModelMakerEngine.MMDimensions, ModelMakerEngine",
                "$values": []
              },
              "TimeAxis": 0,
              "IndexInParent": -1,
              "Name": "Model Constants",
              "Parent": {
                "$ref": "1"
              },
              "Visible": true,
              "ToolTip": "",
              "OpeningBalanceFlagAppliedName": "",
              "AllowIncomingLinks": false,
              "AllowOutgoingLinks": false,
              "IncomingLinks": {
                "$type": "System.Collections.ObjectModel.Collection`1[[ModelMaker.MMLink, ModelMaker]], mscorlib",
                "$values": []
              },
              "OutgoingLinks": {
                "$type": "System.Collections.ObjectModel.Collection`1[[ModelMaker.MMLink, ModelMaker]], mscorlib",
                "$values": []
              },
              "Deletable": true,
              "Issues": null
            },
            {
              "$id": "155",
              "$type": "ModelMaker.GroupNode, ModelMaker",
              "TabOrHeaderColour": "",
              "Comment": "",
              "NameOfGroup": "Inputs",
              "YPosition": 5,
              "Folded": false,
              "Font": null,
              "Children": {
                "$type": "ModelMaker.GroupNodeChildCollection, ModelMaker",
                "$values": [
                  {
                    "$id": "156",
                    "$type": "ModelMaker.GroupNode, ModelMaker",
                    "TabOrHeaderColour": "",
                    "Comment": "",
                    "NameOfGroup": "Inputs",
                    "YPosition": 0,
                    "Folded": true,
                    "Font": null,
                    "Children": {
                      "$type": "ModelMaker.GroupNodeChildCollection, ModelMaker",
                      "$values": [
                        {
                          "$id": "157",
                          "$type": "ModelMaker.VariableNode, ModelMaker",
                          "RowTotalDependent": null,
                          "PutCalculationOnReport": false,
                          "CalculateOnThisReport": null,
                          "PivotTableLink": null,
                          "ExcelNameName": "Opening_Sector_Cofounder_Shares",
                          "ExcelNameNames": {
                            "$type": "ModelMakerEngine.ExcelNameDictionary, ModelMakerEngine",
                            "$values": []
                          },
                          "NumberFormatOverride": null,
                          "HasOpeningBalanceFlag": false,
                          "OpeningBalanceFlagAppliedName": "",
                          "Deletable": true,
                          "Comment": "",
                          "HasSwitchSignLine": false,
                          "SwitchSignForReport": false,
                          "MultipleInputValues": {
                            "$type": "System.Collections.Generic.List`1[[ModelMaker.DimensionedArrayValues, ModelMaker]], mscorlib",
                            "$values": [
                              {
                                "$id": "158",
                                "$type": "ModelMaker.DimensionedArrayValues, ModelMaker",
                                "Elements": {
                                  "$type": "ModelMakerEngine.MMElements, ModelMakerEngine",
                                  "$values": []
                                },
                                "Values": {
                                  "$type": "System.Collections.Generic.List`1[[System.Object, mscorlib]], mscorlib",
                                  "$values": [
                                    400.0,
                                    0.0,
                                    0.0,
                                    0.0,
                                    0.0,
                                    0.0,
                                    0.0,
                                    null
                                  ]
                                }
                              }
                            ]
                          },
                          "NonPrimaryInput": false,
                          "Max": "NaN",
                          "Min": "NaN",
                          "IsBalanceButNotCorkscrew": false,
                          "IsEditable": true,
                          "IsConstant": true,
                          "UniqueID": "b066461b-4f01-4149-8895-29e9186c07bc",
                          "Dimensions": {
                            "$type": "ModelMakerEngine.MMDimensions, ModelMakerEngine",
                            "$values": []
                          },
                          "EquationOBXInternal": "{400,0,0,0,0,0,0,}",
                          "NameOfGroup": "Inputs.Opening Balances",
                          "EquationToParse": "{400,0,0,0,0,0,0,}",
                          "MostRecentExpectedUnitErrors": null,
                          "Units": {
                            "$ref": "61"
                          },
                          "Name": "Opening Sector Cofounder Shares",
                          "ReportLines": {
                            "$type": "ModelMaker.UndoableCollection`1[[ModelMakerEngine.IReportLine, ModelMakerEngine]], ModelMaker.Undo",
                            "$values": []
                          },
                          "IsOpeningBalance": true,
                          "ExternalLinks": {
                            "$type": "UINext.Collections.DeepObservableCollection`1[[ExternalLinks.IExternalDataLink, ExternalLinks]], UINext",
                            "$values": []
                          },
                          "HasUnits": true,
                          "UnitsValid": true,
                          "UnitsErrorMessage": "",
                          "IgnoreUnitIssues": false,
                          "IsPlaceholder": false,
                          "StandardName": 0,
                          "IsStandardNode": false,
                          "WarnMessage": null,
                          "HasStandardDescription": false,
                          "HasStandardName": false,
                          "OptimisationNodePair": null,
                          "IsOptimisationNode": false,
                          "Actuals": null,
                          "UDFCode": null,
                          "AssociatedOptimisationNodes": null,
                          "CustomNamedRange": null,
                          "IsRowTotal": false,
                          "YPosition": 0,
                          "Parent": {
                            "$ref": "1"
                          },
                          "Visible": true,
                          "Font": null,
                          "AllowIncomingLinks": true,
                          "AllowOutgoingLinks": true,
                          "IncomingLinks": {
                            "$type": "System.Collections.ObjectModel.Collection`1[[ModelMaker.MMLink, ModelMaker]], mscorlib",
                            "$values": []
                          },
                          "OutgoingLinks": {
                            "$type": "System.Collections.ObjectModel.Collection`1[[ModelMaker.MMLink, ModelMaker]], mscorlib",
                            "$values": []
                          },
                          "Issues": null
                        },
                        {
                          "$id": "159",
                          "$type": "ModelMaker.VariableNode, ModelMaker",
                          "RowTotalDependent": null,
                          "PutCalculationOnReport": false,
                          "CalculateOnThisReport": null,
                          "PivotTableLink": null,
                          "ExcelNameName": "Opening_Studio_Cofounder_Shares",
                          "ExcelNameNames": {
                            "$type": "ModelMakerEngine.ExcelNameDictionary, ModelMakerEngine",
                            "$values": []
                          },
                          "NumberFormatOverride": null,
                          "HasOpeningBalanceFlag": false,
                          "OpeningBalanceFlagAppliedName": "",
                          "Deletable": true,
                          "Comment": "",
                          "HasSwitchSignLine": false,
                          "SwitchSignForReport": false,
                          "MultipleInputValues": {
                            "$type": "System.Collections.Generic.List`1[[ModelMaker.DimensionedArrayValues, ModelMaker]], mscorlib",
                            "$values": [
                              {
                                "$id": "160",
                                "$type": "ModelMaker.DimensionedArrayValues, ModelMaker",
                                "Elements": {
                                  "$type": "ModelMakerEngine.MMElements, ModelMakerEngine",
                                  "$values": []
                                },
                                "Values": {
                                  "$type": "System.Collections.Generic.List`1[[System.Object, mscorlib]], mscorlib",
                                  "$values": [
                                    100.0,
                                    0.0,
                                    0.0,
                                    0.0,
                                    0.0,
                                    0.0,
                                    0.0,
                                    null
                                  ]
                                }
                              }
                            ]
                          },
                          "NonPrimaryInput": false,
                          "Max": "NaN",
                          "Min": "NaN",
                          "IsBalanceButNotCorkscrew": false,
                          "IsEditable": true,
                          "IsConstant": true,
                          "UniqueID": "25d4dfa4-c320-43b4-b4b3-56093c7b8c25",
                          "Dimensions": {
                            "$type": "ModelMakerEngine.MMDimensions, ModelMakerEngine",
                            "$values": []
                          },
                          "EquationOBXInternal": "{100,0,0,0,0,0,0,}",
                          "NameOfGroup": "Inputs.Opening Balances",
                          "EquationToParse": "{100,0,0,0,0,0,0,}",
                          "MostRecentExpectedUnitErrors": null,
                          "Units": {
                            "$ref": "66"
                          },
                          "Name": "Opening Studio Cofounder Shares",
                          "ReportLines": {
                            "$type": "ModelMaker.UndoableCollection`1[[ModelMakerEngine.IReportLine, ModelMakerEngine]], ModelMaker.Undo",
                            "$values": []
                          },
                          "IsOpeningBalance": true,
                          "ExternalLinks": {
                            "$type": "UINext.Collections.DeepObservableCollection`1[[ExternalLinks.IExternalDataLink, ExternalLinks]], UINext",
                            "$values": []
                          },
                          "HasUnits": true,
                          "UnitsValid": true,
                          "UnitsErrorMessage": "",
                          "IgnoreUnitIssues": false,
                          "IsPlaceholder": false,
                          "StandardName": 0,
                          "IsStandardNode": false,
                          "WarnMessage": null,
                          "HasStandardDescription": false,
                          "HasStandardName": false,
                          "OptimisationNodePair": null,
                          "IsOptimisationNode": false,
                          "Actuals": null,
                          "UDFCode": null,
                          "AssociatedOptimisationNodes": null,
                          "CustomNamedRange": null,
                          "IsRowTotal": false,
                          "YPosition": 1,
                          "Parent": {
                            "$ref": "1"
                          },
                          "Visible": true,
                          "Font": null,
                          "AllowIncomingLinks": true,
                          "AllowOutgoingLinks": true,
                          "IncomingLinks": {
                            "$type": "System.Collections.ObjectModel.Collection`1[[ModelMaker.MMLink, ModelMaker]], mscorlib",
                            "$values": []
                          },
                          "OutgoingLinks": {
                            "$type": "System.Collections.ObjectModel.Collection`1[[ModelMaker.MMLink, ModelMaker]], mscorlib",
                            "$values": []
                          },
                          "Issues": null
                        },
                        {
                          "$id": "161",
                          "$type": "ModelMaker.VariableNode, ModelMaker",
                          "RowTotalDependent": null,
                          "PutCalculationOnReport": false,
                          "CalculateOnThisReport": null,
                          "PivotTableLink": null,
                          "ExcelNameName": "Opening_Investor_Cofounder_Shares",
                          "ExcelNameNames": {
                            "$type": "ModelMakerEngine.ExcelNameDictionary, ModelMakerEngine",
                            "$values": []
                          },
                          "NumberFormatOverride": null,
                          "HasOpeningBalanceFlag": false,
                          "OpeningBalanceFlagAppliedName": "",
                          "Deletable": true,
                          "Comment": "",
                          "HasSwitchSignLine": false,
                          "SwitchSignForReport": false,
                          "MultipleInputValues": {
                            "$type": "System.Collections.Generic.List`1[[ModelMaker.DimensionedArrayValues, ModelMaker]], mscorlib",
                            "$values": [
                              {
                                "$id": "162",
                                "$type": "ModelMaker.DimensionedArrayValues, ModelMaker",
                                "Elements": {
                                  "$type": "ModelMakerEngine.MMElements, ModelMakerEngine",
                                  "$values": []
                                },
                                "Values": {
                                  "$type": "System.Collections.Generic.List`1[[System.Object, mscorlib]], mscorlib",
                                  "$values": [
                                    500.0,
                                    0.0,
                                    0.0,
                                    0.0,
                                    0.0,
                                    0.0,
                                    0.0,
                                    null
                                  ]
                                }
                              }
                            ]
                          },
                          "NonPrimaryInput": false,
                          "Max": "NaN",
                          "Min": "NaN",
                          "IsBalanceButNotCorkscrew": false,
                          "IsEditable": true,
                          "IsConstant": true,
                          "UniqueID": "6e527760-51b6-428b-ba11-bf5f964875c8",
                          "Dimensions": {
                            "$type": "ModelMakerEngine.MMDimensions, ModelMakerEngine",
                            "$values": []
                          },
                          "EquationOBXInternal": "{500,0,0,0,0,0,0,}",
                          "NameOfGroup": "Inputs.Opening Balances",
                          "EquationToParse": "{500,0,0,0,0,0,0,}",
                          "MostRecentExpectedUnitErrors": null,
                          "Units": {
                            "$ref": "71"
                          },
                          "Name": "Opening Investor Cofounder Shares",
                          "ReportLines": {
                            "$type": "ModelMaker.UndoableCollection`1[[ModelMakerEngine.IReportLine, ModelMakerEngine]], ModelMaker.Undo",
                            "$values": []
                          },
                          "IsOpeningBalance": true,
                          "ExternalLinks": {
                            "$type": "UINext.Collections.DeepObservableCollection`1[[ExternalLinks.IExternalDataLink, ExternalLinks]], UINext",
                            "$values": []
                          },
                          "HasUnits": true,
                          "UnitsValid": true,
                          "UnitsErrorMessage": "",
                          "IgnoreUnitIssues": false,
                          "IsPlaceholder": false,
                          "StandardName": 0,
                          "IsStandardNode": false,
                          "WarnMessage": null,
                          "HasStandardDescription": false,
                          "HasStandardName": false,
                          "OptimisationNodePair": null,
                          "IsOptimisationNode": false,
                          "Actuals": null,
                          "UDFCode": null,
                          "AssociatedOptimisationNodes": null,
                          "CustomNamedRange": null,
                          "IsRowTotal": false,
                          "YPosition": 2,
                          "Parent": {
                            "$ref": "1"
                          },
                          "Visible": true,
                          "Font": null,
                          "AllowIncomingLinks": true,
                          "AllowOutgoingLinks": true,
                          "IncomingLinks": {
                            "$type": "System.Collections.ObjectModel.Collection`1[[ModelMaker.MMLink, ModelMaker]], mscorlib",
                            "$values": []
                          },
                          "OutgoingLinks": {
                            "$type": "System.Collections.ObjectModel.Collection`1[[ModelMaker.MMLink, ModelMaker]], mscorlib",
                            "$values": []
                          },
                          "Issues": null
                        },
                        {
                          "$id": "163",
                          "$type": "ModelMaker.VariableNode, ModelMaker",
                          "RowTotalDependent": null,
                          "PutCalculationOnReport": false,
                          "CalculateOnThisReport": null,
                          "PivotTableLink": null,
                          "ExcelNameName": "Opening_Other_Investor_Shares",
                          "ExcelNameNames": {
                            "$type": "ModelMakerEngine.ExcelNameDictionary, ModelMakerEngine",
                            "$values": []
                          },
                          "NumberFormatOverride": null,
                          "HasOpeningBalanceFlag": false,
                          "OpeningBalanceFlagAppliedName": "",
                          "Deletable": true,
                          "Comment": "",
                          "HasSwitchSignLine": false,
                          "SwitchSignForReport": false,
                          "MultipleInputValues": {
                            "$type": "System.Collections.Generic.List`1[[ModelMaker.DimensionedArrayValues, ModelMaker]], mscorlib",
                            "$values": [
                              {
                                "$id": "164",
                                "$type": "ModelMaker.DimensionedArrayValues, ModelMaker",
                                "Elements": {
                                  "$type": "ModelMakerEngine.MMElements, ModelMakerEngine",
                                  "$values": []
                                },
                                "Values": {
                                  "$type": "System.Collections.Generic.List`1[[System.Object, mscorlib]], mscorlib",
                                  "$values": [
                                    0.0,
                                    null,
                                    null,
                                    null,
                                    null,
                                    null,
                                    null,
                                    null
                                  ]
                                }
                              }
                            ]
                          },
                          "NonPrimaryInput": false,
                          "Max": "NaN",
                          "Min": "NaN",
                          "IsBalanceButNotCorkscrew": false,
                          "IsEditable": true,
                          "IsConstant": true,
                          "UniqueID": "223658f3-31db-43f8-8700-077d9a55ed89",
                          "Dimensions": {
                            "$type": "ModelMakerEngine.MMDimensions, ModelMakerEngine",
                            "$values": []
                          },
                          "EquationOBXInternal": "{0,,,,,,,}",
                          "NameOfGroup": "Capital.Shares In Issue",
                          "EquationToParse": "{0,,,,,,,}",
                          "MostRecentExpectedUnitErrors": null,
                          "Units": {
                            "$ref": "76"
                          },
                          "Name": "Opening Other Investor Shares",
                          "ReportLines": {
                            "$type": "ModelMaker.UndoableCollection`1[[ModelMakerEngine.IReportLine, ModelMakerEngine]], ModelMaker.Undo",
                            "$values": []
                          },
                          "IsOpeningBalance": false,
                          "ExternalLinks": {
                            "$type": "UINext.Collections.DeepObservableCollection`1[[ExternalLinks.IExternalDataLink, ExternalLinks]], UINext",
                            "$values": []
                          },
                          "HasUnits": true,
                          "UnitsValid": true,
                          "UnitsErrorMessage": "",
                          "IgnoreUnitIssues": false,
                          "IsPlaceholder": false,
                          "StandardName": 0,
                          "IsStandardNode": false,
                          "WarnMessage": null,
                          "HasStandardDescription": false,
                          "HasStandardName": false,
                          "OptimisationNodePair": null,
                          "IsOptimisationNode": false,
                          "Actuals": null,
                          "UDFCode": null,
                          "AssociatedOptimisationNodes": null,
                          "CustomNamedRange": null,
                          "IsRowTotal": false,
                          "YPosition": 3,
                          "Parent": {
                            "$ref": "1"
                          },
                          "Visible": true,
                          "Font": null,
                          "AllowIncomingLinks": true,
                          "AllowOutgoingLinks": true,
                          "IncomingLinks": {
                            "$type": "System.Collections.ObjectModel.Collection`1[[ModelMaker.MMLink, ModelMaker]], mscorlib",
                            "$values": []
                          },
                          "OutgoingLinks": {
                            "$type": "System.Collections.ObjectModel.Collection`1[[ModelMaker.MMLink, ModelMaker]], mscorlib",
                            "$values": []
                          },
                          "Issues": null
                        },
                        {
                          "$id": "165",
                          "$type": "ModelMaker.VariableNode, ModelMaker",
                          "RowTotalDependent": null,
                          "PutCalculationOnReport": false,
                          "CalculateOnThisReport": null,
                          "PivotTableLink": null,
                          "ExcelNameName": "Opening_Loan_Note",
                          "ExcelNameNames": {
                            "$type": "ModelMakerEngine.ExcelNameDictionary, ModelMakerEngine",
                            "$values": []
                          },
                          "NumberFormatOverride": null,
                          "HasOpeningBalanceFlag": false,
                          "OpeningBalanceFlagAppliedName": "",
                          "Deletable": true,
                          "Comment": "",
                          "HasSwitchSignLine": false,
                          "SwitchSignForReport": false,
                          "MultipleInputValues": {
                            "$type": "System.Collections.Generic.List`1[[ModelMaker.DimensionedArrayValues, ModelMaker]], mscorlib",
                            "$values": [
                              {
                                "$id": "166",
                                "$type": "ModelMaker.DimensionedArrayValues, ModelMaker",
                                "Elements": {
                                  "$type": "ModelMakerEngine.MMElements, ModelMakerEngine",
                                  "$values": []
                                },
                                "Values": {
                                  "$type": "System.Collections.Generic.List`1[[System.Object, mscorlib]], mscorlib",
                                  "$values": [
                                    0.0,
                                    0.0,
                                    0.0,
                                    0.0,
                                    0.0,
                                    0.0,
                                    0.0,
                                    null
                                  ]
                                }
                              }
                            ]
                          },
                          "NonPrimaryInput": false,
                          "Max": "NaN",
                          "Min": "NaN",
                          "IsBalanceButNotCorkscrew": false,
                          "IsEditable": true,
                          "IsConstant": true,
                          "UniqueID": "11f9058c-6fad-4df7-b55c-e8ea21d3626a",
                          "Dimensions": {
                            "$type": "ModelMakerEngine.MMDimensions, ModelMakerEngine",
                            "$values": []
                          },
                          "EquationOBXInternal": "{0,0,0,0,0,0,0,}",
                          "NameOfGroup": "Inputs.Opening Balances",
                          "EquationToParse": "{0,0,0,0,0,0,0,}",
                          "MostRecentExpectedUnitErrors": null,
                          "Units": {
                            "$ref": "2"
                          },
                          "Name": "Opening Loan Note",
                          "ReportLines": {
                            "$type": "ModelMaker.UndoableCollection`1[[ModelMakerEngine.IReportLine, ModelMakerEngine]], ModelMaker.Undo",
                            "$values": []
                          },
                          "IsOpeningBalance": true,
                          "ExternalLinks": {
                            "$type": "UINext.Collections.DeepObservableCollection`1[[ExternalLinks.IExternalDataLink, ExternalLinks]], UINext",
                            "$values": []
                          },
                          "HasUnits": true,
                          "UnitsValid": true,
                          "UnitsErrorMessage": "",
                          "IgnoreUnitIssues": false,
                          "IsPlaceholder": false,
                          "StandardName": 0,
                          "IsStandardNode": false,
                          "WarnMessage": null,
                          "HasStandardDescription": false,
                          "HasStandardName": false,
                          "OptimisationNodePair": null,
                          "IsOptimisationNode": false,
                          "Actuals": null,
                          "UDFCode": null,
                          "AssociatedOptimisationNodes": null,
                          "CustomNamedRange": null,
                          "IsRowTotal": false,
                          "YPosition": 4,
                          "Parent": {
                            "$ref": "1"
                          },
                          "Visible": true,
                          "Font": null,
                          "AllowIncomingLinks": true,
                          "AllowOutgoingLinks": true,
                          "IncomingLinks": {
                            "$type": "System.Collections.ObjectModel.Collection`1[[ModelMaker.MMLink, ModelMaker]], mscorlib",
                            "$values": []
                          },
                          "OutgoingLinks": {
                            "$type": "System.Collections.ObjectModel.Collection`1[[ModelMaker.MMLink, ModelMaker]], mscorlib",
                            "$values": []
                          },
                          "Issues": null
                        },
                        {
                          "$id": "167",
                          "$type": "ModelMaker.VariableNode, ModelMaker",
                          "RowTotalDependent": null,
                          "PutCalculationOnReport": false,
                          "CalculateOnThisReport": null,
                          "PivotTableLink": null,
                          "ExcelNameName": "Nominal_Price_per_Share",
                          "ExcelNameNames": {
                            "$type": "ModelMakerEngine.ExcelNameDictionary, ModelMakerEngine",
                            "$values": []
                          },
                          "NumberFormatOverride": null,
                          "HasOpeningBalanceFlag": false,
                          "OpeningBalanceFlagAppliedName": "",
                          "Deletable": true,
                          "Comment": "",
                          "HasSwitchSignLine": false,
                          "SwitchSignForReport": false,
                          "MultipleInputValues": {
                            "$type": "System.Collections.Generic.List`1[[ModelMaker.DimensionedArrayValues, ModelMaker]], mscorlib",
                            "$values": [
                              {
                                "$id": "168",
                                "$type": "ModelMaker.DimensionedArrayValues, ModelMaker",
                                "Elements": {
                                  "$type": "ModelMakerEngine.MMElements, ModelMakerEngine",
                                  "$values": []
                                },
                                "Values": {
                                  "$type": "System.Collections.Generic.List`1[[System.Object, mscorlib]], mscorlib",
                                  "$values": [
                                    0.001,
                                    null,
                                    null,
                                    null,
                                    null,
                                    null,
                                    null,
                                    null
                                  ]
                                }
                              }
                            ]
                          },
                          "NonPrimaryInput": false,
                          "Max": "NaN",
                          "Min": "NaN",
                          "IsBalanceButNotCorkscrew": false,
                          "IsEditable": true,
                          "IsConstant": true,
                          "UniqueID": "916a3d4c-6f88-41b2-8335-470326bb2b34",
                          "Dimensions": {
                            "$type": "ModelMakerEngine.MMDimensions, ModelMakerEngine",
                            "$values": []
                          },
                          "EquationOBXInternal": "{0.001,,,,,,,}",
                          "NameOfGroup": "Inputs.Opening Balances",
                          "EquationToParse": "{0.001,,,,,,,}",
                          "MostRecentExpectedUnitErrors": null,
                          "Units": {
                            "$id": "169",
                            "$type": "ModelMaker.Unit, ModelMaker",
                            "NumberFormatOverride": null,
                            "MatchAnything": false,
                            "ExternalRepresentation": "GBP",
                            "ItemsOnTop": {
                              "$type": "System.Collections.Generic.List`1[[System.String, mscorlib]], mscorlib",
                              "$values": [
                                "GBP"
                              ]
                            },
                            "ItemsOnBottom": {
                              "$type": "System.Collections.Generic.List`1[[System.String, mscorlib]], mscorlib",
                              "$values": []
                            },
                            "IsCurrency": false,
                            "ContainsSMU": false,
                            "IsDimensionless": false,
                            "InsertRowTotal": true,
                            "IgnoreWhenDeterminingExpectedUnits": false
                          },
                          "Name": "Nominal Price per Share",
                          "ReportLines": {
                            "$type": "ModelMaker.UndoableCollection`1[[ModelMakerEngine.IReportLine, ModelMakerEngine]], ModelMaker.Undo",
                            "$values": []
                          },
                          "IsOpeningBalance": false,
                          "ExternalLinks": {
                            "$type": "UINext.Collections.DeepObservableCollection`1[[ExternalLinks.IExternalDataLink, ExternalLinks]], UINext",
                            "$values": []
                          },
                          "HasUnits": true,
                          "UnitsValid": true,
                          "UnitsErrorMessage": "",
                          "IgnoreUnitIssues": false,
                          "IsPlaceholder": false,
                          "StandardName": 0,
                          "IsStandardNode": false,
                          "WarnMessage": null,
                          "HasStandardDescription": false,
                          "HasStandardName": false,
                          "OptimisationNodePair": null,
                          "IsOptimisationNode": false,
                          "Actuals": null,
                          "UDFCode": null,
                          "AssociatedOptimisationNodes": null,
                          "CustomNamedRange": null,
                          "IsRowTotal": false,
                          "YPosition": 5,
                          "Parent": {
                            "$ref": "1"
                          },
                          "Visible": true,
                          "Font": null,
                          "AllowIncomingLinks": true,
                          "AllowOutgoingLinks": true,
                          "IncomingLinks": {
                            "$type": "System.Collections.ObjectModel.Collection`1[[ModelMaker.MMLink, ModelMaker]], mscorlib",
                            "$values": []
                          },
                          "OutgoingLinks": {
                            "$type": "System.Collections.ObjectModel.Collection`1[[ModelMaker.MMLink, ModelMaker]], mscorlib",
                            "$values": []
                          },
                          "Issues": null
                        }
                      ]
                    },
                    "AllowAddChildren": true,
                    "AllowRemoveChildren": true,
                    "IsImported": false,
                    "IsChecksGroup": false,
                    "IsAlertsGroup": false,
                    "IsChecksAndAlertsGroup": false,
                    "IsUnallocatedGroup": false,
                    "IsInputsGroup": false,
                    "IsFlag": false,
                    "IsTimeAndFlagsGroup": false,
                    "DimensionsAcross": {
                      "$type": "ModelMakerEngine.MMDimensions, ModelMakerEngine",
                      "$values": []
                    },
                    "TimeAxis": 0,
                    "IndexInParent": -1,
                    "Name": "Opening Balances",
                    "Parent": {
                      "$ref": "1"
                    },
                    "Visible": true,
                    "ToolTip": "",
                    "OpeningBalanceFlagAppliedName": "",
                    "AllowIncomingLinks": false,
                    "AllowOutgoingLinks": false,
                    "IncomingLinks": {
                      "$type": "System.Collections.ObjectModel.Collection`1[[ModelMaker.MMLink, ModelMaker]], mscorlib",
                      "$values": []
                    },
                    "OutgoingLinks": {
                      "$type": "System.Collections.ObjectModel.Collection`1[[ModelMaker.MMLink, ModelMaker]], mscorlib",
                      "$values": []
                    },
                    "Deletable": true,
                    "Issues": null
                  },
                  {
                    "$id": "170",
                    "$type": "ModelMaker.GroupNode, ModelMaker",
                    "TabOrHeaderColour": "",
                    "Comment": "",
                    "NameOfGroup": "Inputs",
                    "YPosition": 1,
                    "Folded": true,
                    "Font": null,
                    "Children": {
                      "$type": "ModelMaker.GroupNodeChildCollection, ModelMaker",
                      "$values": [
                        {
                          "$id": "171",
                          "$type": "ModelMaker.VariableNode, ModelMaker",
                          "RowTotalDependent": null,
                          "PutCalculationOnReport": false,
                          "CalculateOnThisReport": null,
                          "PivotTableLink": null,
                          "ExcelNameName": "Redemption_Premium",
                          "ExcelNameNames": {
                            "$type": "ModelMakerEngine.ExcelNameDictionary, ModelMakerEngine",
                            "$values": []
                          },
                          "NumberFormatOverride": null,
                          "HasOpeningBalanceFlag": false,
                          "OpeningBalanceFlagAppliedName": "",
                          "Deletable": true,
                          "Comment": "",
                          "HasSwitchSignLine": false,
                          "SwitchSignForReport": false,
                          "MultipleInputValues": {
                            "$type": "System.Collections.Generic.List`1[[ModelMaker.DimensionedArrayValues, ModelMaker]], mscorlib",
                            "$values": [
                              {
                                "$id": "172",
                                "$type": "ModelMaker.DimensionedArrayValues, ModelMaker",
                                "Elements": {
                                  "$type": "ModelMakerEngine.MMElements, ModelMakerEngine",
                                  "$values": []
                                },
                                "Values": {
                                  "$type": "System.Collections.Generic.List`1[[System.Object, mscorlib]], mscorlib",
                                  "$values": [
                                    1.0,
                                    null,
                                    null,
                                    null,
                                    null,
                                    null,
                                    null,
                                    null
                                  ]
                                }
                              }
                            ]
                          },
                          "NonPrimaryInput": false,
                          "Max": "NaN",
                          "Min": "NaN",
                          "IsBalanceButNotCorkscrew": false,
                          "IsEditable": true,
                          "IsConstant": true,
                          "UniqueID": "f3cae1e7-95b2-4e52-9d84-37551afdf78f",
                          "Dimensions": {
                            "$type": "ModelMakerEngine.MMDimensions, ModelMakerEngine",
                            "$values": []
                          },
                          "EquationOBXInternal": "{1,,,,,,,}",
                          "NameOfGroup": "Inputs.Company.Debt",
                          "EquationToParse": "{1,,,,,,,}",
                          "MostRecentExpectedUnitErrors": null,
                          "Units": {
                            "$id": "173",
                            "$type": "ModelMaker.Unit, ModelMaker",
                            "NumberFormatOverride": null,
                            "MatchAnything": false,
                            "ExternalRepresentation": "%",
                            "ItemsOnTop": {
                              "$type": "System.Collections.Generic.List`1[[System.String, mscorlib]], mscorlib",
                              "$values": []
                            },
                            "ItemsOnBottom": {
                              "$type": "System.Collections.Generic.List`1[[System.String, mscorlib]], mscorlib",
                              "$values": []
                            },
                            "IsCurrency": false,
                            "ContainsSMU": false,
                            "IsDimensionless": true,
                            "InsertRowTotal": true,
                            "IgnoreWhenDeterminingExpectedUnits": false
                          },
                          "Name": "Redemption Premium",
                          "ReportLines": {
                            "$type": "ModelMaker.UndoableCollection`1[[ModelMakerEngine.IReportLine, ModelMakerEngine]], ModelMaker.Undo",
                            "$values": []
                          },
                          "IsOpeningBalance": false,
                          "ExternalLinks": {
                            "$type": "UINext.Collections.DeepObservableCollection`1[[ExternalLinks.IExternalDataLink, ExternalLinks]], UINext",
                            "$values": []
                          },
                          "HasUnits": true,
                          "UnitsValid": true,
                          "UnitsErrorMessage": "",
                          "IgnoreUnitIssues": false,
                          "IsPlaceholder": false,
                          "StandardName": 0,
                          "IsStandardNode": false,
                          "WarnMessage": null,
                          "HasStandardDescription": false,
                          "HasStandardName": false,
                          "OptimisationNodePair": null,
                          "IsOptimisationNode": false,
                          "Actuals": null,
                          "UDFCode": null,
                          "AssociatedOptimisationNodes": null,
                          "CustomNamedRange": null,
                          "IsRowTotal": false,
                          "YPosition": 0,
                          "Parent": {
                            "$ref": "1"
                          },
                          "Visible": true,
                          "Font": null,
                          "AllowIncomingLinks": true,
                          "AllowOutgoingLinks": true,
                          "IncomingLinks": {
                            "$type": "System.Collections.ObjectModel.Collection`1[[ModelMaker.MMLink, ModelMaker]], mscorlib",
                            "$values": []
                          },
                          "OutgoingLinks": {
                            "$type": "System.Collections.ObjectModel.Collection`1[[ModelMaker.MMLink, ModelMaker]], mscorlib",
                            "$values": []
                          },
                          "Issues": null
                        },
                        {
                          "$ref": "10"
                        }
                      ]
                    },
                    "AllowAddChildren": true,
                    "AllowRemoveChildren": true,
                    "IsImported": false,
                    "IsChecksGroup": false,
                    "IsAlertsGroup": false,
                    "IsChecksAndAlertsGroup": false,
                    "IsUnallocatedGroup": false,
                    "IsInputsGroup": false,
                    "IsFlag": false,
                    "IsTimeAndFlagsGroup": false,
                    "DimensionsAcross": {
                      "$type": "ModelMakerEngine.MMDimensions, ModelMakerEngine",
                      "$values": []
                    },
                    "TimeAxis": -3,
                    "IndexInParent": -1,
                    "Name": "Debt",
                    "Parent": {
                      "$ref": "1"
                    },
                    "Visible": true,
                    "ToolTip": "",
                    "OpeningBalanceFlagAppliedName": "",
                    "AllowIncomingLinks": false,
                    "AllowOutgoingLinks": false,
                    "IncomingLinks": {
                      "$type": "System.Collections.ObjectModel.Collection`1[[ModelMaker.MMLink, ModelMaker]], mscorlib",
                      "$values": []
                    },
                    "OutgoingLinks": {
                      "$type": "System.Collections.ObjectModel.Collection`1[[ModelMaker.MMLink, ModelMaker]], mscorlib",
                      "$values": []
                    },
                    "Deletable": true,
                    "Issues": null
                  },
                  {
                    "$id": "174",
                    "$type": "ModelMaker.GroupNode, ModelMaker",
                    "TabOrHeaderColour": "",
                    "Comment": "",
                    "NameOfGroup": "Inputs",
                    "YPosition": 2,
                    "Folded": true,
                    "Font": null,
                    "Children": {
                      "$type": "ModelMaker.GroupNodeChildCollection, ModelMaker",
                      "$values": [
                        {
                          "$id": "175",
                          "$type": "ModelMaker.VariableNode, ModelMaker",
                          "RowTotalDependent": null,
                          "PutCalculationOnReport": false,
                          "CalculateOnThisReport": null,
                          "PivotTableLink": null,
                          "ExcelNameName": "New_Capital_From_Sector_Cofounder",
                          "ExcelNameNames": {
                            "$type": "ModelMakerEngine.ExcelNameDictionary, ModelMakerEngine",
                            "$values": []
                          },
                          "NumberFormatOverride": null,
                          "HasOpeningBalanceFlag": false,
                          "OpeningBalanceFlagAppliedName": "",
                          "Deletable": true,
                          "Comment": "",
                          "HasSwitchSignLine": false,
                          "SwitchSignForReport": false,
                          "MultipleInputValues": {
                            "$type": "System.Collections.Generic.List`1[[ModelMaker.DimensionedArrayValues, ModelMaker]], mscorlib",
                            "$values": [
                              {
                                "$id": "176",
                                "$type": "ModelMaker.DimensionedArrayValues, ModelMaker",
                                "Elements": {
                                  "$type": "ModelMakerEngine.MMElements, ModelMakerEngine",
                                  "$values": []
                                },
                                "Values": {
                                  "$type": "System.Collections.Generic.List`1[[System.Object, mscorlib]], mscorlib",
                                  "$values": [
                                    "0",
                                    "0",
                                    "0",
                                    "0",
                                    "",
                                    "",
                                    "",
                                    "",
                                    "",
                                    "",
                                    ""
                                  ]
                                }
                              }
                            ]
                          },
                          "NonPrimaryInput": false,
                          "Max": "NaN",
                          "Min": "NaN",
                          "IsBalanceButNotCorkscrew": false,
                          "IsEditable": true,
                          "IsConstant": false,
                          "UniqueID": "6c469c69-2a52-4509-97a2-d11eedc78974",
                          "Dimensions": {
                            "$type": "ModelMakerEngine.MMDimensions, ModelMakerEngine",
                            "$values": []
                          },
                          "EquationOBXInternal": "{0,0,0,0,,,,,,,}",
                          "NameOfGroup": "Inputs.New Equity",
                          "EquationToParse": "{0,0,0,0,,,,,,,}",
                          "MostRecentExpectedUnitErrors": null,
                          "Units": {
                            "$ref": "2"
                          },
                          "Name": "New Capital From Sector Cofounder",
                          "ReportLines": {
                            "$type": "ModelMaker.UndoableCollection`1[[ModelMakerEngine.IReportLine, ModelMakerEngine]], ModelMaker.Undo",
                            "$values": []
                          },
                          "IsOpeningBalance": false,
                          "ExternalLinks": {
                            "$type": "UINext.Collections.DeepObservableCollection`1[[ExternalLinks.IExternalDataLink, ExternalLinks]], UINext",
                            "$values": []
                          },
                          "HasUnits": true,
                          "UnitsValid": true,
                          "UnitsErrorMessage": "",
                          "IgnoreUnitIssues": false,
                          "IsPlaceholder": false,
                          "StandardName": 0,
                          "IsStandardNode": false,
                          "WarnMessage": null,
                          "HasStandardDescription": false,
                          "HasStandardName": false,
                          "OptimisationNodePair": null,
                          "IsOptimisationNode": false,
                          "Actuals": null,
                          "UDFCode": null,
                          "AssociatedOptimisationNodes": null,
                          "CustomNamedRange": null,
                          "IsRowTotal": false,
                          "YPosition": 0,
                          "Parent": {
                            "$ref": "1"
                          },
                          "Visible": true,
                          "Font": null,
                          "AllowIncomingLinks": true,
                          "AllowOutgoingLinks": true,
                          "IncomingLinks": {
                            "$type": "System.Collections.ObjectModel.Collection`1[[ModelMaker.MMLink, ModelMaker]], mscorlib",
                            "$values": []
                          },
                          "OutgoingLinks": {
                            "$type": "System.Collections.ObjectModel.Collection`1[[ModelMaker.MMLink, ModelMaker]], mscorlib",
                            "$values": []
                          },
                          "Issues": null
                        },
                        {
                          "$id": "177",
                          "$type": "ModelMaker.VariableNode, ModelMaker",
                          "RowTotalDependent": null,
                          "PutCalculationOnReport": false,
                          "CalculateOnThisReport": null,
                          "PivotTableLink": null,
                          "ExcelNameName": "New_Capital_From_Studio_Cofounder",
                          "ExcelNameNames": {
                            "$type": "ModelMakerEngine.ExcelNameDictionary, ModelMakerEngine",
                            "$values": []
                          },
                          "NumberFormatOverride": null,
                          "HasOpeningBalanceFlag": false,
                          "OpeningBalanceFlagAppliedName": "",
                          "Deletable": true,
                          "Comment": "",
                          "HasSwitchSignLine": false,
                          "SwitchSignForReport": false,
                          "MultipleInputValues": {
                            "$type": "System.Collections.Generic.List`1[[ModelMaker.DimensionedArrayValues, ModelMaker]], mscorlib",
                            "$values": [
                              {
                                "$id": "178",
                                "$type": "ModelMaker.DimensionedArrayValues, ModelMaker",
                                "Elements": {
                                  "$type": "ModelMakerEngine.MMElements, ModelMakerEngine",
                                  "$values": []
                                },
                                "Values": {
                                  "$type": "System.Collections.Generic.List`1[[System.Object, mscorlib]], mscorlib",
                                  "$values": [
                                    "0",
                                    "0",
                                    "0",
                                    "0",
                                    "",
                                    "",
                                    "",
                                    "",
                                    "",
                                    "",
                                    ""
                                  ]
                                }
                              }
                            ]
                          },
                          "NonPrimaryInput": false,
                          "Max": "NaN",
                          "Min": "NaN",
                          "IsBalanceButNotCorkscrew": false,
                          "IsEditable": true,
                          "IsConstant": false,
                          "UniqueID": "0806a0cb-f517-4d43-94a2-0575e4a9063d",
                          "Dimensions": {
                            "$type": "ModelMakerEngine.MMDimensions, ModelMakerEngine",
                            "$values": []
                          },
                          "EquationOBXInternal": "{0,0,0,0,,,,,,,}",
                          "NameOfGroup": "Inputs.New Equity",
                          "EquationToParse": "{0,0,0,0,,,,,,,}",
                          "MostRecentExpectedUnitErrors": null,
                          "Units": {
                            "$ref": "2"
                          },
                          "Name": "New Capital From Studio Cofounder",
                          "ReportLines": {
                            "$type": "ModelMaker.UndoableCollection`1[[ModelMakerEngine.IReportLine, ModelMakerEngine]], ModelMaker.Undo",
                            "$values": []
                          },
                          "IsOpeningBalance": false,
                          "ExternalLinks": {
                            "$type": "UINext.Collections.DeepObservableCollection`1[[ExternalLinks.IExternalDataLink, ExternalLinks]], UINext",
                            "$values": []
                          },
                          "HasUnits": true,
                          "UnitsValid": true,
                          "UnitsErrorMessage": "",
                          "IgnoreUnitIssues": false,
                          "IsPlaceholder": false,
                          "StandardName": 0,
                          "IsStandardNode": false,
                          "WarnMessage": null,
                          "HasStandardDescription": false,
                          "HasStandardName": false,
                          "OptimisationNodePair": null,
                          "IsOptimisationNode": false,
                          "Actuals": null,
                          "UDFCode": null,
                          "AssociatedOptimisationNodes": null,
                          "CustomNamedRange": null,
                          "IsRowTotal": false,
                          "YPosition": 1,
                          "Parent": {
                            "$ref": "1"
                          },
                          "Visible": true,
                          "Font": null,
                          "AllowIncomingLinks": true,
                          "AllowOutgoingLinks": true,
                          "IncomingLinks": {
                            "$type": "System.Collections.ObjectModel.Collection`1[[ModelMaker.MMLink, ModelMaker]], mscorlib",
                            "$values": []
                          },
                          "OutgoingLinks": {
                            "$type": "System.Collections.ObjectModel.Collection`1[[ModelMaker.MMLink, ModelMaker]], mscorlib",
                            "$values": []
                          },
                          "Issues": null
                        },
                        {
                          "$id": "179",
                          "$type": "ModelMaker.VariableNode, ModelMaker",
                          "RowTotalDependent": null,
                          "PutCalculationOnReport": false,
                          "CalculateOnThisReport": null,
                          "PivotTableLink": null,
                          "ExcelNameName": "New_Capital_From_Investor_Cofounder",
                          "ExcelNameNames": {
                            "$type": "ModelMakerEngine.ExcelNameDictionary, ModelMakerEngine",
                            "$values": []
                          },
                          "NumberFormatOverride": null,
                          "HasOpeningBalanceFlag": false,
                          "OpeningBalanceFlagAppliedName": "",
                          "Deletable": true,
                          "Comment": "",
                          "HasSwitchSignLine": false,
                          "SwitchSignForReport": false,
                          "MultipleInputValues": {
                            "$type": "System.Collections.Generic.List`1[[ModelMaker.DimensionedArrayValues, ModelMaker]], mscorlib",
                            "$values": [
                              {
                                "$id": "180",
                                "$type": "ModelMaker.DimensionedArrayValues, ModelMaker",
                                "Elements": {
                                  "$type": "ModelMakerEngine.MMElements, ModelMakerEngine",
                                  "$values": []
                                },
                                "Values": {
                                  "$type": "System.Collections.Generic.List`1[[System.Object, mscorlib]], mscorlib",
                                  "$values": [
                                    "0",
                                    "0",
                                    "0",
                                    "0",
                                    "",
                                    "",
                                    "",
                                    "",
                                    "",
                                    "",
                                    ""
                                  ]
                                }
                              }
                            ]
                          },
                          "NonPrimaryInput": false,
                          "Max": "NaN",
                          "Min": "NaN",
                          "IsBalanceButNotCorkscrew": false,
                          "IsEditable": true,
                          "IsConstant": false,
                          "UniqueID": "3dfe5b5f-83e0-4ef4-b80d-0a1f2ac5f14f",
                          "Dimensions": {
                            "$type": "ModelMakerEngine.MMDimensions, ModelMakerEngine",
                            "$values": []
                          },
                          "EquationOBXInternal": "{0,0,0,0,,,,,,,}",
                          "NameOfGroup": "Inputs.New Equity",
                          "EquationToParse": "{0,0,0,0,,,,,,,}",
                          "MostRecentExpectedUnitErrors": null,
                          "Units": {
                            "$ref": "2"
                          },
                          "Name": "New Capital From Investor Cofounder",
                          "ReportLines": {
                            "$type": "ModelMaker.UndoableCollection`1[[ModelMakerEngine.IReportLine, ModelMakerEngine]], ModelMaker.Undo",
                            "$values": []
                          },
                          "IsOpeningBalance": false,
                          "ExternalLinks": {
                            "$type": "UINext.Collections.DeepObservableCollection`1[[ExternalLinks.IExternalDataLink, ExternalLinks]], UINext",
                            "$values": []
                          },
                          "HasUnits": true,
                          "UnitsValid": true,
                          "UnitsErrorMessage": "",
                          "IgnoreUnitIssues": false,
                          "IsPlaceholder": false,
                          "StandardName": 0,
                          "IsStandardNode": false,
                          "WarnMessage": null,
                          "HasStandardDescription": false,
                          "HasStandardName": false,
                          "OptimisationNodePair": null,
                          "IsOptimisationNode": false,
                          "Actuals": null,
                          "UDFCode": null,
                          "AssociatedOptimisationNodes": null,
                          "CustomNamedRange": null,
                          "IsRowTotal": false,
                          "YPosition": 2,
                          "Parent": {
                            "$ref": "1"
                          },
                          "Visible": true,
                          "Font": null,
                          "AllowIncomingLinks": true,
                          "AllowOutgoingLinks": true,
                          "IncomingLinks": {
                            "$type": "System.Collections.ObjectModel.Collection`1[[ModelMaker.MMLink, ModelMaker]], mscorlib",
                            "$values": []
                          },
                          "OutgoingLinks": {
                            "$type": "System.Collections.ObjectModel.Collection`1[[ModelMaker.MMLink, ModelMaker]], mscorlib",
                            "$values": []
                          },
                          "Issues": null
                        },
                        {
                          "$id": "181",
                          "$type": "ModelMaker.VariableNode, ModelMaker",
                          "RowTotalDependent": null,
                          "PutCalculationOnReport": false,
                          "CalculateOnThisReport": null,
                          "PivotTableLink": null,
                          "ExcelNameName": "New_Capital_From_Other_Investor",
                          "ExcelNameNames": {
                            "$type": "ModelMakerEngine.ExcelNameDictionary, ModelMakerEngine",
                            "$values": []
                          },
                          "NumberFormatOverride": null,
                          "HasOpeningBalanceFlag": false,
                          "OpeningBalanceFlagAppliedName": "",
                          "Deletable": true,
                          "Comment": "",
                          "HasSwitchSignLine": false,
                          "SwitchSignForReport": false,
                          "MultipleInputValues": {
                            "$type": "System.Collections.Generic.List`1[[ModelMaker.DimensionedArrayValues, ModelMaker]], mscorlib",
                            "$values": [
                              {
                                "$id": "182",
                                "$type": "ModelMaker.DimensionedArrayValues, ModelMaker",
                                "Elements": {
                                  "$type": "ModelMakerEngine.MMElements, ModelMakerEngine",
                                  "$values": []
                                },
                                "Values": {
                                  "$type": "System.Collections.Generic.List`1[[System.Object, mscorlib]], mscorlib",
                                  "$values": [
                                    "0",
                                    "250000",
                                    "750000",
                                    "1500000",
                                    "",
                                    "",
                                    "",
                                    "",
                                    "",
                                    "",
                                    ""
                                  ]
                                }
                              }
                            ]
                          },
                          "NonPrimaryInput": false,
                          "Max": "NaN",
                          "Min": "NaN",
                          "IsBalanceButNotCorkscrew": false,
                          "IsEditable": true,
                          "IsConstant": false,
                          "UniqueID": "8eeb4923-3a18-483d-aadc-0e56cc7eb278",
                          "Dimensions": {
                            "$type": "ModelMakerEngine.MMDimensions, ModelMakerEngine",
                            "$values": []
                          },
                          "EquationOBXInternal": "{0,250000,750000,1500000,,,,,,,}",
                          "NameOfGroup": "Inputs.New Equity",
                          "EquationToParse": "{0,250000,750000,1500000,,,,,,,}",
                          "MostRecentExpectedUnitErrors": null,
                          "Units": {
                            "$ref": "2"
                          },
                          "Name": "New Capital From Other Investor",
                          "ReportLines": {
                            "$type": "ModelMaker.UndoableCollection`1[[ModelMakerEngine.IReportLine, ModelMakerEngine]], ModelMaker.Undo",
                            "$values": []
                          },
                          "IsOpeningBalance": false,
                          "ExternalLinks": {
                            "$type": "UINext.Collections.DeepObservableCollection`1[[ExternalLinks.IExternalDataLink, ExternalLinks]], UINext",
                            "$values": []
                          },
                          "HasUnits": true,
                          "UnitsValid": true,
                          "UnitsErrorMessage": "",
                          "IgnoreUnitIssues": false,
                          "IsPlaceholder": false,
                          "StandardName": 0,
                          "IsStandardNode": false,
                          "WarnMessage": null,
                          "HasStandardDescription": false,
                          "HasStandardName": false,
                          "OptimisationNodePair": null,
                          "IsOptimisationNode": false,
                          "Actuals": null,
                          "UDFCode": null,
                          "AssociatedOptimisationNodes": null,
                          "CustomNamedRange": null,
                          "IsRowTotal": false,
                          "YPosition": 3,
                          "Parent": {
                            "$ref": "1"
                          },
                          "Visible": true,
                          "Font": null,
                          "AllowIncomingLinks": true,
                          "AllowOutgoingLinks": true,
                          "IncomingLinks": {
                            "$type": "System.Collections.ObjectModel.Collection`1[[ModelMaker.MMLink, ModelMaker]], mscorlib",
                            "$values": []
                          },
                          "OutgoingLinks": {
                            "$type": "System.Collections.ObjectModel.Collection`1[[ModelMaker.MMLink, ModelMaker]], mscorlib",
                            "$values": []
                          },
                          "Issues": null
                        },
                        {
                          "$ref": "102"
                        }
                      ]
                    },
                    "AllowAddChildren": true,
                    "AllowRemoveChildren": true,
                    "IsImported": false,
                    "IsChecksGroup": false,
                    "IsAlertsGroup": false,
                    "IsChecksAndAlertsGroup": false,
                    "IsUnallocatedGroup": false,
                    "IsInputsGroup": false,
                    "IsFlag": false,
                    "IsTimeAndFlagsGroup": false,
                    "DimensionsAcross": {
                      "$type": "ModelMakerEngine.MMDimensions, ModelMakerEngine",
                      "$values": []
                    },
                    "TimeAxis": -3,
                    "IndexInParent": -1,
                    "Name": "Equity",
                    "Parent": {
                      "$ref": "1"
                    },
                    "Visible": true,
                    "ToolTip": "",
                    "OpeningBalanceFlagAppliedName": "",
                    "AllowIncomingLinks": false,
                    "AllowOutgoingLinks": false,
                    "IncomingLinks": {
                      "$type": "System.Collections.ObjectModel.Collection`1[[ModelMaker.MMLink, ModelMaker]], mscorlib",
                      "$values": []
                    },
                    "OutgoingLinks": {
                      "$type": "System.Collections.ObjectModel.Collection`1[[ModelMaker.MMLink, ModelMaker]], mscorlib",
                      "$values": []
                    },
                    "Deletable": true,
                    "Issues": null
                  },
                  {
                    "$id": "183",
                    "$type": "ModelMaker.GroupNode, ModelMaker",
                    "TabOrHeaderColour": "",
                    "Comment": "",
                    "NameOfGroup": "Inputs.Company",
                    "YPosition": 3,
                    "Folded": false,
                    "Font": null,
                    "Children": {
                      "$type": "ModelMaker.GroupNodeChildCollection, ModelMaker",
                      "$values": [
                        {
                          "$ref": "43"
                        }
                      ]
                    },
                    "AllowAddChildren": true,
                    "AllowRemoveChildren": true,
                    "IsImported": false,
                    "IsChecksGroup": false,
                    "IsAlertsGroup": false,
                    "IsChecksAndAlertsGroup": false,
                    "IsUnallocatedGroup": false,
                    "IsInputsGroup": false,
                    "IsFlag": false,
                    "IsTimeAndFlagsGroup": false,
                    "DimensionsAcross": {
                      "$type": "ModelMakerEngine.MMDimensions, ModelMakerEngine",
                      "$values": []
                    },
                    "TimeAxis": 0,
                    "IndexInParent": -1,
                    "Name": "Exit",
                    "Parent": {
                      "$ref": "1"
                    },
                    "Visible": true,
                    "ToolTip": "",
                    "OpeningBalanceFlagAppliedName": "",
                    "AllowIncomingLinks": false,
                    "AllowOutgoingLinks": false,
                    "IncomingLinks": {
                      "$type": "System.Collections.ObjectModel.Collection`1[[ModelMaker.MMLink, ModelMaker]], mscorlib",
                      "$values": []
                    },
                    "OutgoingLinks": {
                      "$type": "System.Collections.ObjectModel.Collection`1[[ModelMaker.MMLink, ModelMaker]], mscorlib",
                      "$values": []
                    },
                    "Deletable": true,
                    "Issues": null
                  }
                ]
              },
              "AllowAddChildren": true,
              "AllowRemoveChildren": true,
              "IsImported": false,
              "IsChecksGroup": false,
              "IsAlertsGroup": false,
              "IsChecksAndAlertsGroup": false,
              "IsUnallocatedGroup": false,
              "IsInputsGroup": false,
              "IsFlag": false,
              "IsTimeAndFlagsGroup": false,
              "DimensionsAcross": {
                "$type": "ModelMakerEngine.MMDimensions, ModelMakerEngine",
                "$values": []
              },
              "TimeAxis": 0,
              "IndexInParent": -1,
              "Name": "Company",
              "Parent": {
                "$ref": "1"
              },
              "Visible": true,
              "ToolTip": "",
              "OpeningBalanceFlagAppliedName": "",
              "AllowIncomingLinks": false,
              "AllowOutgoingLinks": false,
              "IncomingLinks": {
                "$type": "System.Collections.ObjectModel.Collection`1[[ModelMaker.MMLink, ModelMaker]], mscorlib",
                "$values": []
              },
              "OutgoingLinks": {
                "$type": "System.Collections.ObjectModel.Collection`1[[ModelMaker.MMLink, ModelMaker]], mscorlib",
                "$values": []
              },
              "Deletable": true,
              "Issues": null
            },
            {
              "$id": "184",
              "$type": "ModelMaker.GroupNode, ModelMaker",
              "TabOrHeaderColour": "",
              "Comment": "",
              "NameOfGroup": "Inputs",
              "YPosition": 6,
              "Folded": true,
              "Font": null,
              "Children": {
                "$type": "ModelMaker.GroupNodeChildCollection, ModelMaker",
                "$values": []
              },
              "AllowAddChildren": true,
              "AllowRemoveChildren": true,
              "IsImported": false,
              "IsChecksGroup": false,
              "IsAlertsGroup": false,
              "IsChecksAndAlertsGroup": false,
              "IsUnallocatedGroup": false,
              "IsInputsGroup": false,
              "IsFlag": false,
              "IsTimeAndFlagsGroup": false,
              "DimensionsAcross": {
                "$type": "ModelMakerEngine.MMDimensions, ModelMakerEngine",
                "$values": []
              },
              "TimeAxis": 0,
              "IndexInParent": -1,
              "Name": "Portfolio",
              "Parent": {
                "$ref": "1"
              },
              "Visible": true,
              "ToolTip": "",
              "OpeningBalanceFlagAppliedName": "",
              "AllowIncomingLinks": false,
              "AllowOutgoingLinks": false,
              "IncomingLinks": {
                "$type": "System.Collections.ObjectModel.Collection`1[[ModelMaker.MMLink, ModelMaker]], mscorlib",
                "$values": []
              },
              "OutgoingLinks": {
                "$type": "System.Collections.ObjectModel.Collection`1[[ModelMaker.MMLink, ModelMaker]], mscorlib",
                "$values": []
              },
              "Deletable": true,
              "Issues": null
            },
            {
              "$id": "185",
              "$type": "ModelMaker.GroupNode, ModelMaker",
              "TabOrHeaderColour": "",
              "Comment": "",
              "NameOfGroup": "Inputs",
              "YPosition": 7,
              "Folded": true,
              "Font": null,
              "Children": {
                "$type": "ModelMaker.GroupNodeChildCollection, ModelMaker",
                "$values": [
                  {
                    "$id": "186",
                    "$type": "ModelMaker.VariableNode, ModelMaker",
                    "RowTotalDependent": null,
                    "PutCalculationOnReport": false,
                    "CalculateOnThisReport": null,
                    "PivotTableLink": null,
                    "ExcelNameName": "Companies_in_Cohort",
                    "ExcelNameNames": {
                      "$type": "ModelMakerEngine.ExcelNameDictionary, ModelMakerEngine",
                      "$values": []
                    },
                    "NumberFormatOverride": null,
                    "HasOpeningBalanceFlag": false,
                    "OpeningBalanceFlagAppliedName": "",
                    "Deletable": true,
                    "Comment": "",
                    "HasSwitchSignLine": false,
                    "SwitchSignForReport": false,
                    "MultipleInputValues": {
                      "$type": "System.Collections.Generic.List`1[[ModelMaker.DimensionedArrayValues, ModelMaker]], mscorlib",
                      "$values": [
                        {
                          "$id": "187",
                          "$type": "ModelMaker.DimensionedArrayValues, ModelMaker",
                          "Elements": {
                            "$type": "ModelMakerEngine.MMElements, ModelMakerEngine",
                            "$values": []
                          },
                          "Values": {
                            "$type": "System.Collections.Generic.List`1[[System.Object, mscorlib]], mscorlib",
                            "$values": [
                              15.0,
                              0.0,
                              0.0,
                              0.0,
                              0.0,
                              0.0,
                              0.0,
                              null
                            ]
                          }
                        }
                      ]
                    },
                    "NonPrimaryInput": false,
                    "Max": "NaN",
                    "Min": "NaN",
                    "IsBalanceButNotCorkscrew": false,
                    "IsEditable": true,
                    "IsConstant": true,
                    "UniqueID": "48d4d8c2-a48c-49b8-9f0e-5a3a72503de3",
                    "Dimensions": {
                      "$type": "ModelMakerEngine.MMDimensions, ModelMakerEngine",
                      "$values": []
                    },
                    "EquationOBXInternal": "{15,0,0,0,0,0,0,}",
                    "NameOfGroup": "Inputs.Cohort",
                    "EquationToParse": "{15,0,0,0,0,0,0,}",
                    "MostRecentExpectedUnitErrors": null,
                    "Units": {
                      "$ref": "31"
                    },
                    "Name": "Companies in Cohort",
                    "ReportLines": {
                      "$type": "ModelMaker.UndoableCollection`1[[ModelMakerEngine.IReportLine, ModelMakerEngine]], ModelMaker.Undo",
                      "$values": []
                    },
                    "IsOpeningBalance": true,
                    "ExternalLinks": {
                      "$type": "UINext.Collections.DeepObservableCollection`1[[ExternalLinks.IExternalDataLink, ExternalLinks]], UINext",
                      "$values": []
                    },
                    "HasUnits": true,
                    "UnitsValid": true,
                    "UnitsErrorMessage": "",
                    "IgnoreUnitIssues": false,
                    "IsPlaceholder": false,
                    "StandardName": 0,
                    "IsStandardNode": false,
                    "WarnMessage": null,
                    "HasStandardDescription": false,
                    "HasStandardName": false,
                    "OptimisationNodePair": null,
                    "IsOptimisationNode": false,
                    "Actuals": null,
                    "UDFCode": null,
                    "AssociatedOptimisationNodes": null,
                    "CustomNamedRange": null,
                    "IsRowTotal": false,
                    "YPosition": 0,
                    "Parent": {
                      "$ref": "1"
                    },
                    "Visible": true,
                    "Font": null,
                    "AllowIncomingLinks": true,
                    "AllowOutgoingLinks": true,
                    "IncomingLinks": {
                      "$type": "System.Collections.ObjectModel.Collection`1[[ModelMaker.MMLink, ModelMaker]], mscorlib",
                      "$values": []
                    },
                    "OutgoingLinks": {
                      "$type": "System.Collections.ObjectModel.Collection`1[[ModelMaker.MMLink, ModelMaker]], mscorlib",
                      "$values": []
                    },
                    "Issues": null
                  },
                  {
                    "$ref": "16"
                  },
                  {
                    "$ref": "20"
                  }
                ]
              },
              "AllowAddChildren": true,
              "AllowRemoveChildren": true,
              "IsImported": false,
              "IsChecksGroup": false,
              "IsAlertsGroup": false,
              "IsChecksAndAlertsGroup": false,
              "IsUnallocatedGroup": false,
              "IsInputsGroup": false,
              "IsFlag": false,
              "IsTimeAndFlagsGroup": false,
              "DimensionsAcross": {
                "$type": "ModelMakerEngine.MMDimensions, ModelMakerEngine",
                "$values": []
              },
              "TimeAxis": 0,
              "IndexInParent": -1,
              "Name": "Cohort",
              "Parent": {
                "$ref": "1"
              },
              "Visible": true,
              "ToolTip": "",
              "OpeningBalanceFlagAppliedName": "",
              "AllowIncomingLinks": false,
              "AllowOutgoingLinks": false,
              "IncomingLinks": {
                "$type": "System.Collections.ObjectModel.Collection`1[[ModelMaker.MMLink, ModelMaker]], mscorlib",
                "$values": []
              },
              "OutgoingLinks": {
                "$type": "System.Collections.ObjectModel.Collection`1[[ModelMaker.MMLink, ModelMaker]], mscorlib",
                "$values": []
              },
              "Deletable": true,
              "Issues": null
            }
          ]
        },
        "AllowAddChildren": true,
        "AllowRemoveChildren": true,
        "IsImported": false,
        "IsChecksGroup": false,
        "IsAlertsGroup": false,
        "IsChecksAndAlertsGroup": false,
        "IsUnallocatedGroup": false,
        "IsInputsGroup": true,
        "IsFlag": false,
        "IsTimeAndFlagsGroup": false,
        "DimensionsAcross": {
          "$type": "ModelMakerEngine.MMDimensions, ModelMakerEngine",
          "$values": []
        },
        "TimeAxis": 0,
        "IndexInParent": 1,
        "Name": "Inputs",
        "Parent": {
          "$ref": "1"
        },
        "Visible": true,
        "ToolTip": "",
        "OpeningBalanceFlagAppliedName": "",
        "AllowIncomingLinks": false,
        "AllowOutgoingLinks": false,
        "IncomingLinks": {
          "$type": "System.Collections.ObjectModel.Collection`1[[ModelMaker.MMLink, ModelMaker]], mscorlib",
          "$values": []
        },
        "OutgoingLinks": {
          "$type": "System.Collections.ObjectModel.Collection`1[[ModelMaker.MMLink, ModelMaker]], mscorlib",
          "$values": []
        },
        "Deletable": false,
        "Issues": null
      },
      {
        "$id": "188",
        "$type": "ModelMaker.GroupNode, ModelMaker",
        "TabOrHeaderColour": "",
        "Comment": "",
        "NameOfGroup": null,
        "YPosition": 0,
        "Folded": false,
        "Font": null,
        "Children": {
          "$type": "ModelMaker.GroupNodeChildCollection, ModelMaker",
          "$values": [
            {
              "$id": "189",
              "$type": "ModelMaker.GroupNode, ModelMaker",
              "TabOrHeaderColour": "",
              "Comment": "",
              "NameOfGroup": "Time",
              "YPosition": 0,
              "Folded": false,
              "Font": null,
              "Children": {
                "$type": "ModelMaker.GroupNodeChildCollection, ModelMaker",
                "$values": [
                  {
                    "$id": "190",
                    "$type": "ModelMaker.VariableNode, ModelMaker",
                    "RowTotalDependent": null,
                    "PutCalculationOnReport": false,
                    "CalculateOnThisReport": null,
                    "PivotTableLink": null,
                    "ExcelNameName": "Model_period_end",
                    "ExcelNameNames": {
                      "$type": "ModelMakerEngine.ExcelNameDictionary, ModelMakerEngine",
                      "$values": []
                    },
                    "NumberFormatOverride": null,
                    "HasOpeningBalanceFlag": false,
                    "OpeningBalanceFlagAppliedName": "",
                    "Deletable": false,
                    "Comment": "",
                    "HasSwitchSignLine": false,
                    "SwitchSignForReport": false,
                    "MultipleInputValues": null,
                    "NonPrimaryInput": false,
                    "Max": "NaN",
                    "Min": "NaN",
                    "IsBalanceButNotCorkscrew": false,
                    "IsEditable": true,
                    "IsConstant": false,
                    "UniqueID": "68ae6f16-22ec-4292-9d0a-0b8793849429",
                    "Dimensions": {
                      "$type": "ModelMakerEngine.MMDimensions, ModelMakerEngine",
                      "$values": []
                    },
                    "EquationOBXInternal": "EDATE([Model period start], [Months per period]) - 1",
                    "NameOfGroup": "Time.Headers",
                    "EquationToParse": "EDATE([Model period start], [Months per period]) - 1",
                    "MostRecentExpectedUnitErrors": null,
                    "Units": {
                      "$id": "191",
                      "$type": "ModelMaker.Unit, ModelMaker",
                      "NumberFormatOverride": null,
                      "MatchAnything": false,
                      "ExternalRepresentation": "date",
                      "ItemsOnTop": {
                        "$type": "System.Collections.Generic.List`1[[System.String, mscorlib]], mscorlib",
                        "$values": [
                          "DATE"
                        ]
                      },
                      "ItemsOnBottom": {
                        "$type": "System.Collections.Generic.List`1[[System.String, mscorlib]], mscorlib",
                        "$values": []
                      },
                      "IsCurrency": false,
                      "ContainsSMU": false,
                      "IsDimensionless": false,
                      "InsertRowTotal": true,
                      "IgnoreWhenDeterminingExpectedUnits": false
                    },
                    "Name": "Model period end",
                    "ReportLines": {
                      "$type": "ModelMaker.UndoableCollection`1[[ModelMakerEngine.IReportLine, ModelMakerEngine]], ModelMaker.Undo",
                      "$values": []
                    },
                    "IsOpeningBalance": false,
                    "ExternalLinks": {
                      "$type": "UINext.Collections.DeepObservableCollection`1[[ExternalLinks.IExternalDataLink, ExternalLinks]], UINext",
                      "$values": []
                    },
                    "HasUnits": true,
                    "UnitsValid": true,
                    "UnitsErrorMessage": "",
                    "IgnoreUnitIssues": false,
                    "IsPlaceholder": false,
                    "StandardName": 10,
                    "IsStandardNode": true,
                    "WarnMessage": null,
                    "HasStandardDescription": false,
                    "HasStandardName": true,
                    "OptimisationNodePair": null,
                    "IsOptimisationNode": false,
                    "Actuals": null,
                    "UDFCode": null,
                    "AssociatedOptimisationNodes": null,
                    "CustomNamedRange": null,
                    "IsRowTotal": false,
                    "YPosition": 0,
                    "Parent": {
                      "$ref": "1"
                    },
                    "Visible": true,
                    "Font": null,
                    "AllowIncomingLinks": true,
                    "AllowOutgoingLinks": true,
                    "IncomingLinks": {
                      "$type": "System.Collections.ObjectModel.Collection`1[[ModelMaker.MMLink, ModelMaker]], mscorlib",
                      "$values": []
                    },
                    "OutgoingLinks": {
                      "$type": "System.Collections.ObjectModel.Collection`1[[ModelMaker.MMLink, ModelMaker]], mscorlib",
                      "$values": []
                    },
                    "Issues": null
                  },
                  {
                    "$id": "192",
                    "$type": "ModelMaker.VariableNode, ModelMaker",
                    "RowTotalDependent": null,
                    "PutCalculationOnReport": false,
                    "CalculateOnThisReport": null,
                    "PivotTableLink": null,
                    "ExcelNameName": "Period_number",
                    "ExcelNameNames": {
                      "$type": "ModelMakerEngine.ExcelNameDictionary, ModelMakerEngine",
                      "$values": []
                    },
                    "NumberFormatOverride": null,
                    "HasOpeningBalanceFlag": false,
                    "OpeningBalanceFlagAppliedName": "",
                    "Deletable": false,
                    "Comment": "",
                    "HasSwitchSignLine": false,
                    "SwitchSignForReport": false,
                    "MultipleInputValues": null,
                    "NonPrimaryInput": false,
                    "Max": "NaN",
                    "Min": "NaN",
                    "IsBalanceButNotCorkscrew": false,
                    "IsEditable": true,
                    "IsConstant": false,
                    "UniqueID": "830a8b1a-c01c-4e00-bcf4-50956f0b3765",
                    "Dimensions": {
                      "$type": "ModelMakerEngine.MMDimensions, ModelMakerEngine",
                      "$values": []
                    },
                    "EquationOBXInternal": "PREVIOUSVALUE()+1",
                    "NameOfGroup": "Time.Headers",
                    "EquationToParse": "PREVIOUSVALUE()+1",
                    "MostRecentExpectedUnitErrors": null,
                    "Units": {
                      "$id": "193",
                      "$type": "ModelMaker.Unit, ModelMaker",
                      "NumberFormatOverride": null,
                      "MatchAnything": false,
                      "ExternalRepresentation": "Counter",
                      "ItemsOnTop": {
                        "$type": "System.Collections.Generic.List`1[[System.String, mscorlib]], mscorlib",
                        "$values": []
                      },
                      "ItemsOnBottom": {
                        "$type": "System.Collections.Generic.List`1[[System.String, mscorlib]], mscorlib",
                        "$values": []
                      },
                      "IsCurrency": false,
                      "ContainsSMU": false,
                      "IsDimensionless": false,
                      "InsertRowTotal": true,
                      "IgnoreWhenDeterminingExpectedUnits": false
                    },
                    "Name": "Period number",
                    "ReportLines": {
                      "$type": "ModelMaker.UndoableCollection`1[[ModelMakerEngine.IReportLine, ModelMakerEngine]], ModelMaker.Undo",
                      "$values": []
                    },
                    "IsOpeningBalance": false,
                    "ExternalLinks": {
                      "$type": "UINext.Collections.DeepObservableCollection`1[[ExternalLinks.IExternalDataLink, ExternalLinks]], UINext",
                      "$values": []
                    },
                    "HasUnits": true,
                    "UnitsValid": true,
                    "UnitsErrorMessage": "",
                    "IgnoreUnitIssues": false,
                    "IsPlaceholder": false,
                    "StandardName": 8,
                    "IsStandardNode": true,
                    "WarnMessage": null,
                    "HasStandardDescription": false,
                    "HasStandardName": true,
                    "OptimisationNodePair": null,
                    "IsOptimisationNode": false,
                    "Actuals": null,
                    "UDFCode": null,
                    "AssociatedOptimisationNodes": null,
                    "CustomNamedRange": null,
                    "IsRowTotal": false,
                    "YPosition": 1,
                    "Parent": {
                      "$ref": "1"
                    },
                    "Visible": true,
                    "Font": null,
                    "AllowIncomingLinks": true,
                    "AllowOutgoingLinks": true,
                    "IncomingLinks": {
                      "$type": "System.Collections.ObjectModel.Collection`1[[ModelMaker.MMLink, ModelMaker]], mscorlib",
                      "$values": []
                    },
                    "OutgoingLinks": {
                      "$type": "System.Collections.ObjectModel.Collection`1[[ModelMaker.MMLink, ModelMaker]], mscorlib",
                      "$values": []
                    },
                    "Issues": null
                  }
                ]
              },
              "AllowAddChildren": true,
              "AllowRemoveChildren": true,
              "IsImported": false,
              "IsChecksGroup": false,
              "IsAlertsGroup": false,
              "IsChecksAndAlertsGroup": false,
              "IsUnallocatedGroup": false,
              "IsInputsGroup": false,
              "IsFlag": false,
              "IsTimeAndFlagsGroup": false,
              "DimensionsAcross": {
                "$type": "ModelMakerEngine.MMDimensions, ModelMakerEngine",
                "$values": []
              },
              "TimeAxis": 0,
              "IndexInParent": -1,
              "Name": "Headers",
              "Parent": {
                "$ref": "1"
              },
              "Visible": true,
              "ToolTip": "",
              "OpeningBalanceFlagAppliedName": "",
              "AllowIncomingLinks": false,
              "AllowOutgoingLinks": false,
              "IncomingLinks": {
                "$type": "System.Collections.ObjectModel.Collection`1[[ModelMaker.MMLink, ModelMaker]], mscorlib",
                "$values": []
              },
              "OutgoingLinks": {
                "$type": "System.Collections.ObjectModel.Collection`1[[ModelMaker.MMLink, ModelMaker]], mscorlib",
                "$values": []
              },
              "Deletable": true,
              "Issues": null
            },
            {
              "$id": "194",
              "$type": "ModelMaker.VariableNode, ModelMaker",
              "RowTotalDependent": null,
              "PutCalculationOnReport": false,
              "CalculateOnThisReport": null,
              "PivotTableLink": null,
              "ExcelNameName": "Model_period_start",
              "ExcelNameNames": {
                "$type": "ModelMakerEngine.ExcelNameDictionary, ModelMakerEngine",
                "$values": []
              },
              "NumberFormatOverride": null,
              "HasOpeningBalanceFlag": false,
              "OpeningBalanceFlagAppliedName": "",
              "Deletable": false,
              "Comment": "",
              "HasSwitchSignLine": false,
              "SwitchSignForReport": false,
              "MultipleInputValues": null,
              "NonPrimaryInput": false,
              "Max": "NaN",
              "Min": "NaN",
              "IsBalanceButNotCorkscrew": false,
              "IsEditable": true,
              "IsConstant": false,
              "UniqueID": "e5cbf9ca-c060-45d3-b7c7-c2813c815dd7",
              "Dimensions": {
                "$type": "ModelMakerEngine.MMDimensions, ModelMakerEngine",
                "$values": []
              },
              "EquationOBXInternal": "IF([Period number] = 1,[Start date],EDATE(PREVIOUSVALUE(), [Months per period]))",
              "NameOfGroup": "Time",
              "EquationToParse": "IF([Period number] = 1,[Start date],EDATE(PREVIOUSVALUE(), [Months per period]))",
              "MostRecentExpectedUnitErrors": null,
              "Units": {
                "$id": "195",
                "$type": "ModelMaker.Unit, ModelMaker",
                "NumberFormatOverride": null,
                "MatchAnything": false,
                "ExternalRepresentation": "date",
                "ItemsOnTop": {
                  "$type": "System.Collections.Generic.List`1[[System.String, mscorlib]], mscorlib",
                  "$values": [
                    "DATE"
                  ]
                },
                "ItemsOnBottom": {
                  "$type": "System.Collections.Generic.List`1[[System.String, mscorlib]], mscorlib",
                  "$values": []
                },
                "IsCurrency": false,
                "ContainsSMU": false,
                "IsDimensionless": false,
                "InsertRowTotal": true,
                "IgnoreWhenDeterminingExpectedUnits": false
              },
              "Name": "Model period start",
              "ReportLines": {
                "$type": "ModelMaker.UndoableCollection`1[[ModelMakerEngine.IReportLine, ModelMakerEngine]], ModelMaker.Undo",
                "$values": []
              },
              "IsOpeningBalance": false,
              "ExternalLinks": {
                "$type": "UINext.Collections.DeepObservableCollection`1[[ExternalLinks.IExternalDataLink, ExternalLinks]], UINext",
                "$values": []
              },
              "HasUnits": true,
              "UnitsValid": true,
              "UnitsErrorMessage": "",
              "IgnoreUnitIssues": false,
              "IsPlaceholder": false,
              "StandardName": 9,
              "IsStandardNode": true,
              "WarnMessage": null,
              "HasStandardDescription": false,
              "HasStandardName": true,
              "OptimisationNodePair": null,
              "IsOptimisationNode": false,
              "Actuals": null,
              "UDFCode": null,
              "AssociatedOptimisationNodes": null,
              "CustomNamedRange": null,
              "IsRowTotal": false,
              "YPosition": 1,
              "Parent": {
                "$ref": "1"
              },
              "Visible": true,
              "Font": null,
              "AllowIncomingLinks": true,
              "AllowOutgoingLinks": true,
              "IncomingLinks": {
                "$type": "System.Collections.ObjectModel.Collection`1[[ModelMaker.MMLink, ModelMaker]], mscorlib",
                "$values": []
              },
              "OutgoingLinks": {
                "$type": "System.Collections.ObjectModel.Collection`1[[ModelMaker.MMLink, ModelMaker]], mscorlib",
                "$values": []
              },
              "Issues": null
            }
          ]
        },
        "AllowAddChildren": true,
        "AllowRemoveChildren": true,
        "IsImported": false,
        "IsChecksGroup": false,
        "IsAlertsGroup": false,
        "IsChecksAndAlertsGroup": false,
        "IsUnallocatedGroup": false,
        "IsInputsGroup": false,
        "IsFlag": false,
        "IsTimeAndFlagsGroup": true,
        "DimensionsAcross": {
          "$type": "ModelMakerEngine.MMDimensions, ModelMakerEngine",
          "$values": []
        },
        "TimeAxis": 0,
        "IndexInParent": 2,
        "Name": "Time",
        "Parent": {
          "$ref": "1"
        },
        "Visible": true,
        "ToolTip": "",
        "OpeningBalanceFlagAppliedName": "",
        "AllowIncomingLinks": false,
        "AllowOutgoingLinks": false,
        "IncomingLinks": {
          "$type": "System.Collections.ObjectModel.Collection`1[[ModelMaker.MMLink, ModelMaker]], mscorlib",
          "$values": []
        },
        "OutgoingLinks": {
          "$type": "System.Collections.ObjectModel.Collection`1[[ModelMaker.MMLink, ModelMaker]], mscorlib",
          "$values": []
        },
        "Deletable": false,
        "Issues": null
      },
      {
        "$id": "196",
        "$type": "ModelMaker.GroupNode, ModelMaker",
        "TabOrHeaderColour": "",
        "Comment": "",
        "NameOfGroup": "Model Checks and Alerts",
        "YPosition": 0,
        "Folded": true,
        "Font": null,
        "Children": {
          "$type": "ModelMaker.GroupNodeChildCollection, ModelMaker",
          "$values": []
        },
        "AllowAddChildren": true,
        "AllowRemoveChildren": true,
        "IsImported": false,
        "IsChecksGroup": true,
        "IsAlertsGroup": false,
        "IsChecksAndAlertsGroup": false,
        "IsUnallocatedGroup": false,
        "IsInputsGroup": false,
        "IsFlag": false,
        "IsTimeAndFlagsGroup": false,
        "DimensionsAcross": {
          "$type": "ModelMakerEngine.MMDimensions, ModelMakerEngine",
          "$values": []
        },
        "TimeAxis": 0,
        "IndexInParent": -1,
        "Name": "Model Checks",
        "Parent": {
          "$ref": "1"
        },
        "Visible": true,
        "ToolTip": "",
        "OpeningBalanceFlagAppliedName": "",
        "AllowIncomingLinks": false,
        "AllowOutgoingLinks": false,
        "IncomingLinks": {
          "$type": "System.Collections.ObjectModel.Collection`1[[ModelMaker.MMLink, ModelMaker]], mscorlib",
          "$values": []
        },
        "OutgoingLinks": {
          "$type": "System.Collections.ObjectModel.Collection`1[[ModelMaker.MMLink, ModelMaker]], mscorlib",
          "$values": []
        },
        "Deletable": false,
        "Issues": null
      },
      {
        "$id": "197",
        "$type": "ModelMaker.GroupNode, ModelMaker",
        "TabOrHeaderColour": "",
        "Comment": "",
        "NameOfGroup": "Model Checks and Alerts",
        "YPosition": 1,
        "Folded": true,
        "Font": null,
        "Children": {
          "$type": "ModelMaker.GroupNodeChildCollection, ModelMaker",
          "$values": []
        },
        "AllowAddChildren": true,
        "AllowRemoveChildren": true,
        "IsImported": false,
        "IsChecksGroup": false,
        "IsAlertsGroup": true,
        "IsChecksAndAlertsGroup": false,
        "IsUnallocatedGroup": false,
        "IsInputsGroup": false,
        "IsFlag": false,
        "IsTimeAndFlagsGroup": false,
        "DimensionsAcross": {
          "$type": "ModelMakerEngine.MMDimensions, ModelMakerEngine",
          "$values": []
        },
        "TimeAxis": 0,
        "IndexInParent": -1,
        "Name": "Model Alerts",
        "Parent": {
          "$ref": "1"
        },
        "Visible": true,
        "ToolTip": "",
        "OpeningBalanceFlagAppliedName": "",
        "AllowIncomingLinks": false,
        "AllowOutgoingLinks": false,
        "IncomingLinks": {
          "$type": "System.Collections.ObjectModel.Collection`1[[ModelMaker.MMLink, ModelMaker]], mscorlib",
          "$values": []
        },
        "OutgoingLinks": {
          "$type": "System.Collections.ObjectModel.Collection`1[[ModelMaker.MMLink, ModelMaker]], mscorlib",
          "$values": []
        },
        "Deletable": false,
        "Issues": null
      },
      {
        "$id": "198",
        "$type": "ModelMaker.GroupNode, ModelMaker",
        "TabOrHeaderColour": "",
        "Comment": "",
        "NameOfGroup": null,
        "YPosition": 0,
        "Folded": false,
        "Font": null,
        "Children": {
          "$type": "ModelMaker.GroupNodeChildCollection, ModelMaker",
          "$values": [
            {
              "$ref": "196"
            },
            {
              "$ref": "197"
            }
          ]
        },
        "AllowAddChildren": true,
        "AllowRemoveChildren": true,
        "IsImported": false,
        "IsChecksGroup": false,
        "IsAlertsGroup": false,
        "IsChecksAndAlertsGroup": true,
        "IsUnallocatedGroup": false,
        "IsInputsGroup": false,
        "IsFlag": false,
        "IsTimeAndFlagsGroup": false,
        "DimensionsAcross": {
          "$type": "ModelMakerEngine.MMDimensions, ModelMakerEngine",
          "$values": []
        },
        "TimeAxis": 0,
        "IndexInParent": 4,
        "Name": "Model Checks and Alerts",
        "Parent": {
          "$ref": "1"
        },
        "Visible": true,
        "ToolTip": "",
        "OpeningBalanceFlagAppliedName": "",
        "AllowIncomingLinks": false,
        "AllowOutgoingLinks": false,
        "IncomingLinks": {
          "$type": "System.Collections.ObjectModel.Collection`1[[ModelMaker.MMLink, ModelMaker]], mscorlib",
          "$values": []
        },
        "OutgoingLinks": {
          "$type": "System.Collections.ObjectModel.Collection`1[[ModelMaker.MMLink, ModelMaker]], mscorlib",
          "$values": []
        },
        "Deletable": false,
        "Issues": null
      },
      {
        "$id": "199",
        "$type": "ModelMaker.TimeNode, ModelMaker",
        "ForceUpdate": 1,
        "Axis": 0,
        "EndDate": "2033-08-31T00:00:00",
        "MonthsPerPeriod": 12,
        "StartDate": "2023-09-01T00:00:00",
        "NumberOfPeriods": 10,
        "TimeStep": 8,
        "YearEndBasis": 1002,
        "YearEndMonth": 8,
        "YPosition": -1,
        "Parent": {
          "$ref": "1"
        },
        "Visible": false,
        "ToolTip": "",
        "OpeningBalanceFlagAppliedName": "",
        "Font": null,
        "AllowIncomingLinks": true,
        "AllowOutgoingLinks": true,
        "IncomingLinks": {
          "$type": "System.Collections.ObjectModel.Collection`1[[ModelMaker.MMLink, ModelMaker]], mscorlib",
          "$values": []
        },
        "OutgoingLinks": {
          "$type": "System.Collections.ObjectModel.Collection`1[[ModelMaker.MMLink, ModelMaker]], mscorlib",
          "$values": []
        },
        "Deletable": true,
        "Issues": null
      },
      {
        "$ref": "147"
      },
      {
        "$ref": "189"
      },
      {
        "$ref": "192"
      },
      {
        "$ref": "150"
      },
      {
        "$ref": "194"
      },
      {
        "$ref": "190"
      },
      {
        "$ref": "149"
      },
      {
        "$id": "200",
        "$type": "ModelMaker.GroupNode, ModelMaker",
        "TabOrHeaderColour": "",
        "Comment": "",
        "NameOfGroup": "Capital",
        "YPosition": 0,
        "Folded": true,
        "Font": null,
        "Children": {
          "$type": "ModelMaker.GroupNodeChildCollection, ModelMaker",
          "$values": [
            {
              "$ref": "9"
            }
          ]
        },
        "AllowAddChildren": true,
        "AllowRemoveChildren": true,
        "IsImported": false,
        "IsChecksGroup": false,
        "IsAlertsGroup": false,
        "IsChecksAndAlertsGroup": false,
        "IsUnallocatedGroup": false,
        "IsInputsGroup": false,
        "IsFlag": false,
        "IsTimeAndFlagsGroup": false,
        "DimensionsAcross": {
          "$type": "ModelMakerEngine.MMDimensions, ModelMakerEngine",
          "$values": []
        },
        "TimeAxis": -3,
        "IndexInParent": -1,
        "Name": "Debt",
        "Parent": {
          "$ref": "1"
        },
        "Visible": true,
        "ToolTip": "",
        "OpeningBalanceFlagAppliedName": "",
        "AllowIncomingLinks": false,
        "AllowOutgoingLinks": false,
        "IncomingLinks": {
          "$type": "System.Collections.ObjectModel.Collection`1[[ModelMaker.MMLink, ModelMaker]], mscorlib",
          "$values": []
        },
        "OutgoingLinks": {
          "$type": "System.Collections.ObjectModel.Collection`1[[ModelMaker.MMLink, ModelMaker]], mscorlib",
          "$values": []
        },
        "Deletable": true,
        "Issues": null
      },
      {
        "$ref": "9"
      },
      {
        "$ref": "165"
      },
      {
        "$ref": "10"
      },
      {
        "$id": "201",
        "$type": "ModelMaker.GroupNode, ModelMaker",
        "TabOrHeaderColour": "",
        "Comment": "",
        "NameOfGroup": "Capital",
        "YPosition": 2,
        "Folded": true,
        "Font": null,
        "Children": {
          "$type": "ModelMaker.GroupNodeChildCollection, ModelMaker",
          "$values": [
            {
              "$ref": "63"
            },
            {
              "$ref": "58"
            },
            {
              "$ref": "68"
            },
            {
              "$ref": "73"
            }
          ]
        },
        "AllowAddChildren": true,
        "AllowRemoveChildren": true,
        "IsImported": false,
        "IsChecksGroup": false,
        "IsAlertsGroup": false,
        "IsChecksAndAlertsGroup": false,
        "IsUnallocatedGroup": false,
        "IsInputsGroup": false,
        "IsFlag": false,
        "IsTimeAndFlagsGroup": false,
        "DimensionsAcross": {
          "$type": "ModelMakerEngine.MMDimensions, ModelMakerEngine",
          "$values": []
        },
        "TimeAxis": -3,
        "IndexInParent": -1,
        "Name": "Shares In Issue",
        "Parent": {
          "$ref": "1"
        },
        "Visible": true,
        "ToolTip": "",
        "OpeningBalanceFlagAppliedName": "",
        "AllowIncomingLinks": false,
        "AllowOutgoingLinks": false,
        "IncomingLinks": {
          "$type": "System.Collections.ObjectModel.Collection`1[[ModelMaker.MMLink, ModelMaker]], mscorlib",
          "$values": []
        },
        "OutgoingLinks": {
          "$type": "System.Collections.ObjectModel.Collection`1[[ModelMaker.MMLink, ModelMaker]], mscorlib",
          "$values": []
        },
        "Deletable": true,
        "Issues": null
      },
      {
        "$ref": "58"
      },
      {
        "$ref": "157"
      },
      {
        "$ref": "59"
      },
      {
        "$ref": "63"
      },
      {
        "$ref": "159"
      },
      {
        "$ref": "174"
      },
      {
        "$ref": "170"
      },
      {
        "$ref": "64"
      },
      {
        "$ref": "68"
      },
      {
        "$ref": "161"
      },
      {
        "$ref": "69"
      },
      {
        "$ref": "4"
      },
      {
        "$ref": "73"
      },
      {
        "$ref": "156"
      },
      {
        "$ref": "154"
      },
      {
        "$id": "202",
        "$type": "ModelMaker.GroupNode, ModelMaker",
        "TabOrHeaderColour": "",
        "Comment": "",
        "NameOfGroup": null,
        "YPosition": 0,
        "Folded": false,
        "Font": null,
        "Children": {
          "$type": "ModelMaker.GroupNodeChildCollection, ModelMaker",
          "$values": [
            {
              "$id": "203",
              "$type": "ModelMaker.GroupNode, ModelMaker",
              "TabOrHeaderColour": "",
              "Comment": "",
              "NameOfGroup": "Optimisation",
              "YPosition": 0,
              "Folded": true,
              "Font": null,
              "Children": {
                "$type": "ModelMaker.GroupNodeChildCollection, ModelMaker",
                "$values": []
              },
              "AllowAddChildren": true,
              "AllowRemoveChildren": true,
              "IsImported": false,
              "IsChecksGroup": false,
              "IsAlertsGroup": false,
              "IsChecksAndAlertsGroup": false,
              "IsUnallocatedGroup": false,
              "IsInputsGroup": false,
              "IsFlag": false,
              "IsTimeAndFlagsGroup": false,
              "DimensionsAcross": {
                "$type": "ModelMakerEngine.MMDimensions, ModelMakerEngine",
                "$values": []
              },
              "TimeAxis": 0,
              "IndexInParent": -1,
              "Name": "Historics",
              "Parent": {
                "$ref": "1"
              },
              "Visible": true,
              "ToolTip": "",
              "OpeningBalanceFlagAppliedName": "",
              "AllowIncomingLinks": false,
              "AllowOutgoingLinks": false,
              "IncomingLinks": {
                "$type": "System.Collections.ObjectModel.Collection`1[[ModelMaker.MMLink, ModelMaker]], mscorlib",
                "$values": []
              },
              "OutgoingLinks": {
                "$type": "System.Collections.ObjectModel.Collection`1[[ModelMaker.MMLink, ModelMaker]], mscorlib",
                "$values": []
              },
              "Deletable": true,
              "Issues": null
            }
          ]
        },
        "AllowAddChildren": true,
        "AllowRemoveChildren": true,
        "IsImported": false,
        "IsChecksGroup": false,
        "IsAlertsGroup": false,
        "IsChecksAndAlertsGroup": false,
        "IsUnallocatedGroup": false,
        "IsInputsGroup": false,
        "IsFlag": false,
        "IsTimeAndFlagsGroup": false,
        "DimensionsAcross": {
          "$type": "ModelMakerEngine.MMDimensions, ModelMakerEngine",
          "$values": []
        },
        "TimeAxis": 0,
        "IndexInParent": 8,
        "Name": "Optimisation",
        "Parent": {
          "$ref": "1"
        },
        "Visible": true,
        "ToolTip": "",
        "OpeningBalanceFlagAppliedName": "",
        "AllowIncomingLinks": false,
        "AllowOutgoingLinks": false,
        "IncomingLinks": {
          "$type": "System.Collections.ObjectModel.Collection`1[[ModelMaker.MMLink, ModelMaker]], mscorlib",
          "$values": []
        },
        "OutgoingLinks": {
          "$type": "System.Collections.ObjectModel.Collection`1[[ModelMaker.MMLink, ModelMaker]], mscorlib",
          "$values": []
        },
        "Deletable": true,
        "Issues": null
      },
      {
        "$ref": "203"
      },
      {
        "$id": "204",
        "$type": "ModelMaker.GroupNode, ModelMaker",
        "TabOrHeaderColour": "",
        "Comment": "",
        "NameOfGroup": "Capital",
        "YPosition": 3,
        "Folded": true,
        "Font": null,
        "Children": {
          "$type": "ModelMaker.GroupNodeChildCollection, ModelMaker",
          "$values": [
            {
              "$ref": "78"
            },
            {
              "$ref": "81"
            },
            {
              "$ref": "84"
            },
            {
              "$ref": "87"
            }
          ]
        },
        "AllowAddChildren": true,
        "AllowRemoveChildren": true,
        "IsImported": false,
        "IsChecksGroup": false,
        "IsAlertsGroup": false,
        "IsChecksAndAlertsGroup": false,
        "IsUnallocatedGroup": false,
        "IsInputsGroup": false,
        "IsFlag": false,
        "IsTimeAndFlagsGroup": false,
        "DimensionsAcross": {
          "$type": "ModelMakerEngine.MMDimensions, ModelMakerEngine",
          "$values": []
        },
        "TimeAxis": 0,
        "IndexInParent": -1,
        "Name": "Percentage Shareholding",
        "Parent": {
          "$ref": "1"
        },
        "Visible": true,
        "ToolTip": "",
        "OpeningBalanceFlagAppliedName": "",
        "AllowIncomingLinks": false,
        "AllowOutgoingLinks": false,
        "IncomingLinks": {
          "$type": "System.Collections.ObjectModel.Collection`1[[ModelMaker.MMLink, ModelMaker]], mscorlib",
          "$values": []
        },
        "OutgoingLinks": {
          "$type": "System.Collections.ObjectModel.Collection`1[[ModelMaker.MMLink, ModelMaker]], mscorlib",
          "$values": []
        },
        "Deletable": true,
        "Issues": null
      },
      {
        "$ref": "78"
      },
      {
        "$ref": "81"
      },
      {
        "$ref": "84"
      },
      {
        "$ref": "87"
      },
      {
        "$ref": "74"
      },
      {
        "$ref": "163"
      },
      {
        "$id": "205",
        "$type": "ModelMaker.GroupNode, ModelMaker",
        "TabOrHeaderColour": "",
        "Comment": "",
        "NameOfGroup": null,
        "YPosition": 0,
        "Folded": false,
        "Font": null,
        "Children": {
          "$type": "ModelMaker.GroupNodeChildCollection, ModelMaker",
          "$values": []
        },
        "AllowAddChildren": true,
        "AllowRemoveChildren": true,
        "IsImported": false,
        "IsChecksGroup": true,
        "IsAlertsGroup": false,
        "IsChecksAndAlertsGroup": false,
        "IsUnallocatedGroup": false,
        "IsInputsGroup": false,
        "IsFlag": false,
        "IsTimeAndFlagsGroup": false,
        "DimensionsAcross": {
          "$type": "ModelMakerEngine.MMDimensions, ModelMakerEngine",
          "$values": []
        },
        "TimeAxis": 0,
        "IndexInParent": -1,
        "Name": "Model Checks",
        "Parent": {
          "$ref": "1"
        },
        "Visible": true,
        "ToolTip": "",
        "OpeningBalanceFlagAppliedName": "",
        "AllowIncomingLinks": false,
        "AllowOutgoingLinks": false,
        "IncomingLinks": {
          "$type": "System.Collections.ObjectModel.Collection`1[[ModelMaker.MMLink, ModelMaker]], mscorlib",
          "$values": []
        },
        "OutgoingLinks": {
          "$type": "System.Collections.ObjectModel.Collection`1[[ModelMaker.MMLink, ModelMaker]], mscorlib",
          "$values": []
        },
        "Deletable": false,
        "Issues": null
      },
      {
        "$id": "206",
        "$type": "ModelMaker.GroupNode, ModelMaker",
        "TabOrHeaderColour": "",
        "Comment": "",
        "NameOfGroup": null,
        "YPosition": 0,
        "Folded": false,
        "Font": null,
        "Children": {
          "$type": "ModelMaker.GroupNodeChildCollection, ModelMaker",
          "$values": []
        },
        "AllowAddChildren": true,
        "AllowRemoveChildren": true,
        "IsImported": false,
        "IsChecksGroup": false,
        "IsAlertsGroup": true,
        "IsChecksAndAlertsGroup": false,
        "IsUnallocatedGroup": false,
        "IsInputsGroup": false,
        "IsFlag": false,
        "IsTimeAndFlagsGroup": false,
        "DimensionsAcross": {
          "$type": "ModelMakerEngine.MMDimensions, ModelMakerEngine",
          "$values": []
        },
        "TimeAxis": 0,
        "IndexInParent": -1,
        "Name": "Model Alerts",
        "Parent": {
          "$ref": "1"
        },
        "Visible": true,
        "ToolTip": "",
        "OpeningBalanceFlagAppliedName": "",
        "AllowIncomingLinks": false,
        "AllowOutgoingLinks": false,
        "IncomingLinks": {
          "$type": "System.Collections.ObjectModel.Collection`1[[ModelMaker.MMLink, ModelMaker]], mscorlib",
          "$values": []
        },
        "OutgoingLinks": {
          "$type": "System.Collections.ObjectModel.Collection`1[[ModelMaker.MMLink, ModelMaker]], mscorlib",
          "$values": []
        },
        "Deletable": false,
        "Issues": null
      },
      {
        "$ref": "98"
      },
      {
        "$ref": "94"
      },
      {
        "$id": "207",
        "$type": "ModelMaker.GroupNode, ModelMaker",
        "TabOrHeaderColour": "",
        "Comment": "",
        "NameOfGroup": "Company Capital Structure",
        "YPosition": 1,
        "Folded": true,
        "Font": null,
        "Children": {
          "$type": "ModelMaker.GroupNodeChildCollection, ModelMaker",
          "$values": [
            {
              "$ref": "107"
            },
            {
              "$ref": "105"
            },
            {
              "$ref": "59"
            },
            {
              "$ref": "64"
            },
            {
              "$ref": "69"
            },
            {
              "$ref": "74"
            }
          ]
        },
        "AllowAddChildren": true,
        "AllowRemoveChildren": true,
        "IsImported": false,
        "IsChecksGroup": false,
        "IsAlertsGroup": false,
        "IsChecksAndAlertsGroup": false,
        "IsUnallocatedGroup": false,
        "IsInputsGroup": false,
        "IsFlag": false,
        "IsTimeAndFlagsGroup": false,
        "DimensionsAcross": {
          "$type": "ModelMakerEngine.MMDimensions, ModelMakerEngine",
          "$values": []
        },
        "TimeAxis": 0,
        "IndexInParent": -1,
        "Name": "New Shares",
        "Parent": {
          "$ref": "1"
        },
        "Visible": true,
        "ToolTip": "",
        "OpeningBalanceFlagAppliedName": "",
        "AllowIncomingLinks": false,
        "AllowOutgoingLinks": false,
        "IncomingLinks": {
          "$type": "System.Collections.ObjectModel.Collection`1[[ModelMaker.MMLink, ModelMaker]], mscorlib",
          "$values": []
        },
        "OutgoingLinks": {
          "$type": "System.Collections.ObjectModel.Collection`1[[ModelMaker.MMLink, ModelMaker]], mscorlib",
          "$values": []
        },
        "Deletable": true,
        "Issues": null
      },
      {
        "$ref": "102"
      },
      {
        "$ref": "105"
      },
      {
        "$ref": "175"
      },
      {
        "$ref": "177"
      },
      {
        "$ref": "179"
      },
      {
        "$ref": "181"
      },
      {
        "$ref": "107"
      },
      {
        "$ref": "167"
      },
      {
        "$ref": "110"
      },
      {
        "$id": "208",
        "$type": "ModelMaker.GroupNode, ModelMaker",
        "TabOrHeaderColour": "",
        "Comment": "",
        "NameOfGroup": "Company Capital Structure",
        "YPosition": 5,
        "Folded": false,
        "Font": null,
        "Children": {
          "$type": "ModelMaker.GroupNodeChildCollection, ModelMaker",
          "$values": [
            {
              "$ref": "129"
            },
            {
              "$id": "209",
              "$type": "ModelMaker.VariableNode, ModelMaker",
              "RowTotalDependent": null,
              "PutCalculationOnReport": false,
              "CalculateOnThisReport": null,
              "PivotTableLink": null,
              "ExcelNameName": null,
              "ExcelNameNames": {
                "$type": "ModelMakerEngine.ExcelNameDictionary, ModelMakerEngine",
                "$values": []
              },
              "NumberFormatOverride": null,
              "HasOpeningBalanceFlag": false,
              "OpeningBalanceFlagAppliedName": "",
              "Deletable": true,
              "Comment": "",
              "HasSwitchSignLine": false,
              "SwitchSignForReport": false,
              "MultipleInputValues": null,
              "NonPrimaryInput": false,
              "Max": "NaN",
              "Min": "NaN",
              "IsBalanceButNotCorkscrew": false,
              "IsEditable": true,
              "IsConstant": false,
              "UniqueID": "38a7300f-dff1-4f0b-b181-1a38077aad4e",
              "Dimensions": {
                "$type": "ModelMakerEngine.MMDimensions, ModelMakerEngine",
                "$values": []
              },
              "EquationOBXInternal": " [Loan Note] *(1+[Redemption Premium])",
              "NameOfGroup": "Company Capital Structure.Exit",
              "EquationToParse": " [Loan Note] *(1+[Redemption Premium])",
              "MostRecentExpectedUnitErrors": null,
              "Units": {
                "$id": "210",
                "$type": "ModelMaker.Unit, ModelMaker",
                "NumberFormatOverride": null,
                "MatchAnything": false,
                "ExternalRepresentation": "GBP",
                "ItemsOnTop": {
                  "$type": "System.Collections.Generic.List`1[[System.String, mscorlib]], mscorlib",
                  "$values": [
                    "GBP"
                  ]
                },
                "ItemsOnBottom": {
                  "$type": "System.Collections.Generic.List`1[[System.String, mscorlib]], mscorlib",
                  "$values": []
                },
                "IsCurrency": false,
                "ContainsSMU": false,
                "IsDimensionless": false,
                "InsertRowTotal": true,
                "IgnoreWhenDeterminingExpectedUnits": false
              },
              "Name": "Loan Repayment",
              "ReportLines": {
                "$type": "ModelMaker.UndoableCollection`1[[ModelMakerEngine.IReportLine, ModelMakerEngine]], ModelMaker.Undo",
                "$values": []
              },
              "IsOpeningBalance": false,
              "ExternalLinks": {
                "$type": "UINext.Collections.DeepObservableCollection`1[[ExternalLinks.IExternalDataLink, ExternalLinks]], UINext",
                "$values": []
              },
              "HasUnits": true,
              "UnitsValid": true,
              "UnitsErrorMessage": "",
              "IgnoreUnitIssues": true,
              "IsPlaceholder": false,
              "StandardName": 0,
              "IsStandardNode": false,
              "WarnMessage": null,
              "HasStandardDescription": false,
              "HasStandardName": false,
              "OptimisationNodePair": null,
              "IsOptimisationNode": false,
              "Actuals": null,
              "UDFCode": null,
              "AssociatedOptimisationNodes": null,
              "CustomNamedRange": null,
              "IsRowTotal": false,
              "YPosition": 1,
              "Parent": {
                "$ref": "1"
              },
              "Visible": true,
              "Font": null,
              "AllowIncomingLinks": true,
              "AllowOutgoingLinks": true,
              "IncomingLinks": {
                "$type": "System.Collections.ObjectModel.Collection`1[[ModelMaker.MMLink, ModelMaker]], mscorlib",
                "$values": []
              },
              "OutgoingLinks": {
                "$type": "System.Collections.ObjectModel.Collection`1[[ModelMaker.MMLink, ModelMaker]], mscorlib",
                "$values": []
              },
              "Issues": null
            },
            {
              "$ref": "132"
            },
            {
              "$id": "211",
              "$type": "ModelMaker.VariableNode, ModelMaker",
              "RowTotalDependent": null,
              "PutCalculationOnReport": false,
              "CalculateOnThisReport": null,
              "PivotTableLink": null,
              "ExcelNameName": null,
              "ExcelNameNames": {
                "$type": "ModelMakerEngine.ExcelNameDictionary, ModelMakerEngine",
                "$values": []
              },
              "NumberFormatOverride": null,
              "HasOpeningBalanceFlag": false,
              "OpeningBalanceFlagAppliedName": "",
              "Deletable": true,
              "Comment": "",
              "HasSwitchSignLine": false,
              "SwitchSignForReport": false,
              "MultipleInputValues": null,
              "NonPrimaryInput": false,
              "Max": "NaN",
              "Min": "NaN",
              "IsBalanceButNotCorkscrew": false,
              "IsEditable": true,
              "IsConstant": false,
              "UniqueID": "a44885ec-0a89-41d5-a451-a4d249323a2b",
              "Dimensions": {
                "$type": "ModelMakerEngine.MMDimensions, ModelMakerEngine",
                "$values": []
              },
              "EquationOBXInternal": "[Exit Proceeds]-[Loan and Redemption Premium Repayment]",
              "NameOfGroup": "Company Capital Structure.Exit",
              "EquationToParse": "[Exit Proceeds]-[Loan and Redemption Premium Repayment]",
              "MostRecentExpectedUnitErrors": null,
              "Units": {
                "$ref": "2"
              },
              "Name": "Proceeds After Loan Repayment",
              "ReportLines": {
                "$type": "ModelMaker.UndoableCollection`1[[ModelMakerEngine.IReportLine, ModelMakerEngine]], ModelMaker.Undo",
                "$values": []
              },
              "IsOpeningBalance": false,
              "ExternalLinks": {
                "$type": "UINext.Collections.DeepObservableCollection`1[[ExternalLinks.IExternalDataLink, ExternalLinks]], UINext",
                "$values": []
              },
              "HasUnits": true,
              "UnitsValid": true,
              "UnitsErrorMessage": "",
              "IgnoreUnitIssues": false,
              "IsPlaceholder": false,
              "StandardName": 0,
              "IsStandardNode": false,
              "WarnMessage": null,
              "HasStandardDescription": false,
              "HasStandardName": false,
              "OptimisationNodePair": null,
              "IsOptimisationNode": false,
              "Actuals": null,
              "UDFCode": null,
              "AssociatedOptimisationNodes": null,
              "CustomNamedRange": null,
              "IsRowTotal": false,
              "YPosition": 3,
              "Parent": {
                "$ref": "1"
              },
              "Visible": true,
              "Font": null,
              "AllowIncomingLinks": true,
              "AllowOutgoingLinks": true,
              "IncomingLinks": {
                "$type": "System.Collections.ObjectModel.Collection`1[[ModelMaker.MMLink, ModelMaker]], mscorlib",
                "$values": []
              },
              "OutgoingLinks": {
                "$type": "System.Collections.ObjectModel.Collection`1[[ModelMaker.MMLink, ModelMaker]], mscorlib",
                "$values": []
              },
              "Issues": null
            },
            {
              "$ref": "134"
            },
            {
              "$ref": "136"
            },
            {
              "$ref": "139"
            },
            {
              "$ref": "142"
            }
          ]
        },
        "AllowAddChildren": true,
        "AllowRemoveChildren": true,
        "IsImported": false,
        "IsChecksGroup": false,
        "IsAlertsGroup": false,
        "IsChecksAndAlertsGroup": false,
        "IsUnallocatedGroup": false,
        "IsInputsGroup": false,
        "IsFlag": false,
        "IsTimeAndFlagsGroup": false,
        "DimensionsAcross": {
          "$type": "ModelMakerEngine.MMDimensions, ModelMakerEngine",
          "$values": []
        },
        "TimeAxis": 0,
        "IndexInParent": -1,
        "Name": "Exit",
        "Parent": {
          "$ref": "1"
        },
        "Visible": true,
        "ToolTip": "",
        "OpeningBalanceFlagAppliedName": "",
        "AllowIncomingLinks": false,
        "AllowOutgoingLinks": false,
        "IncomingLinks": {
          "$type": "System.Collections.ObjectModel.Collection`1[[ModelMaker.MMLink, ModelMaker]], mscorlib",
          "$values": []
        },
        "OutgoingLinks": {
          "$type": "System.Collections.ObjectModel.Collection`1[[ModelMaker.MMLink, ModelMaker]], mscorlib",
          "$values": []
        },
        "Deletable": true,
        "Issues": null
      },
      {
        "$id": "212",
        "$type": "ModelMaker.GroupNode, ModelMaker",
        "TabOrHeaderColour": "",
        "Comment": "",
        "NameOfGroup": "Capital Structure",
        "YPosition": 4,
        "Folded": true,
        "Font": null,
        "Children": {
          "$type": "ModelMaker.GroupNodeChildCollection, ModelMaker",
          "$values": [
            {
              "$ref": "110"
            },
            {
              "$ref": "114"
            },
            {
              "$ref": "117"
            },
            {
              "$ref": "120"
            },
            {
              "$ref": "123"
            },
            {
              "$ref": "126"
            }
          ]
        },
        "AllowAddChildren": true,
        "AllowRemoveChildren": true,
        "IsImported": false,
        "IsChecksGroup": false,
        "IsAlertsGroup": false,
        "IsChecksAndAlertsGroup": false,
        "IsUnallocatedGroup": false,
        "IsInputsGroup": false,
        "IsFlag": false,
        "IsTimeAndFlagsGroup": false,
        "DimensionsAcross": {
          "$type": "ModelMakerEngine.MMDimensions, ModelMakerEngine",
          "$values": []
        },
        "TimeAxis": 0,
        "IndexInParent": -1,
        "Name": "Equity Value",
        "Parent": {
          "$ref": "1"
        },
        "Visible": true,
        "ToolTip": "",
        "OpeningBalanceFlagAppliedName": "",
        "AllowIncomingLinks": false,
        "AllowOutgoingLinks": false,
        "IncomingLinks": {
          "$type": "System.Collections.ObjectModel.Collection`1[[ModelMaker.MMLink, ModelMaker]], mscorlib",
          "$values": []
        },
        "OutgoingLinks": {
          "$type": "System.Collections.ObjectModel.Collection`1[[ModelMaker.MMLink, ModelMaker]], mscorlib",
          "$values": []
        },
        "Deletable": true,
        "Issues": null
      },
      {
        "$id": "213",
        "$type": "ModelMaker.GroupNode, ModelMaker",
        "TabOrHeaderColour": "",
        "Comment": "",
        "NameOfGroup": null,
        "YPosition": 0,
        "Folded": false,
        "Font": null,
        "Children": {
          "$type": "ModelMaker.GroupNodeChildCollection, ModelMaker",
          "$values": [
            {
              "$ref": "200"
            },
            {
              "$ref": "207"
            },
            {
              "$ref": "201"
            },
            {
              "$ref": "204"
            },
            {
              "$ref": "212"
            },
            {
              "$ref": "208"
            }
          ]
        },
        "AllowAddChildren": true,
        "AllowRemoveChildren": true,
        "IsImported": false,
        "IsChecksGroup": false,
        "IsAlertsGroup": false,
        "IsChecksAndAlertsGroup": false,
        "IsUnallocatedGroup": false,
        "IsInputsGroup": false,
        "IsFlag": false,
        "IsTimeAndFlagsGroup": false,
        "DimensionsAcross": {
          "$type": "ModelMakerEngine.MMDimensions, ModelMakerEngine",
          "$values": []
        },
        "TimeAxis": 0,
        "IndexInParent": 3,
        "Name": "Company Capital Structure",
        "Parent": {
          "$ref": "1"
        },
        "Visible": true,
        "ToolTip": "",
        "OpeningBalanceFlagAppliedName": "",
        "AllowIncomingLinks": false,
        "AllowOutgoingLinks": false,
        "IncomingLinks": {
          "$type": "System.Collections.ObjectModel.Collection`1[[ModelMaker.MMLink, ModelMaker]], mscorlib",
          "$values": []
        },
        "OutgoingLinks": {
          "$type": "System.Collections.ObjectModel.Collection`1[[ModelMaker.MMLink, ModelMaker]], mscorlib",
          "$values": []
        },
        "Deletable": true,
        "Issues": null
      },
      {
        "$ref": "126"
      },
      {
        "$ref": "114"
      },
      {
        "$ref": "117"
      },
      {
        "$ref": "120"
      },
      {
        "$ref": "123"
      },
      {
        "$ref": "183"
      },
      {
        "$ref": "43"
      },
      {
        "$ref": "129"
      },
      {
        "$ref": "209"
      },
      {
        "$ref": "211"
      },
      {
        "$ref": "171"
      },
      {
        "$ref": "132"
      },
      {
        "$ref": "134"
      },
      {
        "$ref": "136"
      },
      {
        "$ref": "139"
      },
      {
        "$ref": "142"
      },
      {
        "$ref": "145"
      },
      {
        "$ref": "155"
      },
      {
        "$ref": "184"
      },
      {
        "$id": "214",
        "$type": "ModelMaker.GroupNode, ModelMaker",
        "TabOrHeaderColour": "",
        "Comment": "",
        "NameOfGroup": null,
        "YPosition": 0,
        "Folded": false,
        "Font": null,
        "Children": {
          "$type": "ModelMaker.GroupNodeChildCollection, ModelMaker",
          "$values": [
            {
              "$id": "215",
              "$type": "ModelMaker.GroupNode, ModelMaker",
              "TabOrHeaderColour": "",
              "Comment": "",
              "NameOfGroup": "Cohort Structure",
              "YPosition": 0,
              "Folded": false,
              "Font": null,
              "Children": {
                "$type": "ModelMaker.GroupNodeChildCollection, ModelMaker",
                "$values": [
                  {
                    "$ref": "27"
                  },
                  {
                    "$ref": "24"
                  },
                  {
                    "$ref": "28"
                  },
                  {
                    "$ref": "30"
                  },
                  {
                    "$ref": "33"
                  },
                  {
                    "$ref": "35"
                  }
                ]
              },
              "AllowAddChildren": true,
              "AllowRemoveChildren": true,
              "IsImported": false,
              "IsChecksGroup": false,
              "IsAlertsGroup": false,
              "IsChecksAndAlertsGroup": false,
              "IsUnallocatedGroup": false,
              "IsInputsGroup": false,
              "IsFlag": false,
              "IsTimeAndFlagsGroup": false,
              "DimensionsAcross": {
                "$type": "ModelMakerEngine.MMDimensions, ModelMakerEngine",
                "$values": []
              },
              "TimeAxis": 0,
              "IndexInParent": -1,
              "Name": "Companies",
              "Parent": {
                "$ref": "1"
              },
              "Visible": true,
              "ToolTip": "",
              "OpeningBalanceFlagAppliedName": "",
              "AllowIncomingLinks": false,
              "AllowOutgoingLinks": false,
              "IncomingLinks": {
                "$type": "System.Collections.ObjectModel.Collection`1[[ModelMaker.MMLink, ModelMaker]], mscorlib",
                "$values": []
              },
              "OutgoingLinks": {
                "$type": "System.Collections.ObjectModel.Collection`1[[ModelMaker.MMLink, ModelMaker]], mscorlib",
                "$values": []
              },
              "Deletable": true,
              "Issues": null
            },
            {
              "$id": "216",
              "$type": "ModelMaker.GroupNode, ModelMaker",
              "TabOrHeaderColour": "",
              "Comment": "",
              "NameOfGroup": "Cohort Structure",
              "YPosition": 1,
              "Folded": true,
              "Font": null,
              "Children": {
                "$type": "ModelMaker.GroupNodeChildCollection, ModelMaker",
                "$values": [
                  {
                    "$ref": "40"
                  },
                  {
                    "$ref": "39"
                  }
                ]
              },
              "AllowAddChildren": true,
              "AllowRemoveChildren": true,
              "IsImported": false,
              "IsChecksGroup": false,
              "IsAlertsGroup": false,
              "IsChecksAndAlertsGroup": false,
              "IsUnallocatedGroup": false,
              "IsInputsGroup": false,
              "IsFlag": false,
              "IsTimeAndFlagsGroup": false,
              "DimensionsAcross": {
                "$type": "ModelMakerEngine.MMDimensions, ModelMakerEngine",
                "$values": []
              },
              "TimeAxis": 0,
              "IndexInParent": -1,
              "Name": "Loan",
              "Parent": {
                "$ref": "1"
              },
              "Visible": true,
              "ToolTip": "",
              "OpeningBalanceFlagAppliedName": "",
              "AllowIncomingLinks": false,
              "AllowOutgoingLinks": false,
              "IncomingLinks": {
                "$type": "System.Collections.ObjectModel.Collection`1[[ModelMaker.MMLink, ModelMaker]], mscorlib",
                "$values": []
              },
              "OutgoingLinks": {
                "$type": "System.Collections.ObjectModel.Collection`1[[ModelMaker.MMLink, ModelMaker]], mscorlib",
                "$values": []
              },
              "Deletable": true,
              "Issues": null
            },
            {
              "$id": "217",
              "$type": "ModelMaker.GroupNode, ModelMaker",
              "TabOrHeaderColour": "",
              "Comment": "",
              "NameOfGroup": "Cohort Structure",
              "YPosition": 2,
              "Folded": true,
              "Font": null,
              "Children": {
                "$type": "ModelMaker.GroupNodeChildCollection, ModelMaker",
                "$values": [
                  {
                    "$ref": "47"
                  },
                  {
                    "$ref": "46"
                  }
                ]
              },
              "AllowAddChildren": true,
              "AllowRemoveChildren": true,
              "IsImported": false,
              "IsChecksGroup": false,
              "IsAlertsGroup": false,
              "IsChecksAndAlertsGroup": false,
              "IsUnallocatedGroup": false,
              "IsInputsGroup": false,
              "IsFlag": false,
              "IsTimeAndFlagsGroup": false,
              "DimensionsAcross": {
                "$type": "ModelMakerEngine.MMDimensions, ModelMakerEngine",
                "$values": []
              },
              "TimeAxis": 0,
              "IndexInParent": -1,
              "Name": "Returns",
              "Parent": {
                "$ref": "1"
              },
              "Visible": true,
              "ToolTip": "",
              "OpeningBalanceFlagAppliedName": "",
              "AllowIncomingLinks": false,
              "AllowOutgoingLinks": false,
              "IncomingLinks": {
                "$type": "System.Collections.ObjectModel.Collection`1[[ModelMaker.MMLink, ModelMaker]], mscorlib",
                "$values": []
              },
              "OutgoingLinks": {
                "$type": "System.Collections.ObjectModel.Collection`1[[ModelMaker.MMLink, ModelMaker]], mscorlib",
                "$values": []
              },
              "Deletable": true,
              "Issues": null
            },
            {
              "$id": "218",
              "$type": "ModelMaker.GroupNode, ModelMaker",
              "TabOrHeaderColour": "",
              "Comment": "",
              "NameOfGroup": "Cohort Structure",
              "YPosition": 3,
              "Folded": false,
              "Font": null,
              "Children": {
                "$type": "ModelMaker.GroupNodeChildCollection, ModelMaker",
                "$values": [
                  {
                    "$ref": "50"
                  }
                ]
              },
              "AllowAddChildren": true,
              "AllowRemoveChildren": true,
              "IsImported": false,
              "IsChecksGroup": false,
              "IsAlertsGroup": false,
              "IsChecksAndAlertsGroup": false,
              "IsUnallocatedGroup": false,
              "IsInputsGroup": false,
              "IsFlag": false,
              "IsTimeAndFlagsGroup": false,
              "DimensionsAcross": {
                "$type": "ModelMakerEngine.MMDimensions, ModelMakerEngine",
                "$values": []
              },
              "TimeAxis": 0,
              "IndexInParent": -1,
              "Name": "Metrics",
              "Parent": {
                "$ref": "1"
              },
              "Visible": true,
              "ToolTip": "",
              "OpeningBalanceFlagAppliedName": "",
              "AllowIncomingLinks": false,
              "AllowOutgoingLinks": false,
              "IncomingLinks": {
                "$type": "System.Collections.ObjectModel.Collection`1[[ModelMaker.MMLink, ModelMaker]], mscorlib",
                "$values": []
              },
              "OutgoingLinks": {
                "$type": "System.Collections.ObjectModel.Collection`1[[ModelMaker.MMLink, ModelMaker]], mscorlib",
                "$values": []
              },
              "Deletable": true,
              "Issues": null
            }
          ]
        },
        "AllowAddChildren": true,
        "AllowRemoveChildren": true,
        "IsImported": false,
        "IsChecksGroup": false,
        "IsAlertsGroup": false,
        "IsChecksAndAlertsGroup": false,
        "IsUnallocatedGroup": false,
        "IsInputsGroup": false,
        "IsFlag": false,
        "IsTimeAndFlagsGroup": false,
        "DimensionsAcross": {
          "$type": "ModelMakerEngine.MMDimensions, ModelMakerEngine",
          "$values": []
        },
        "TimeAxis": 0,
        "IndexInParent": 5,
        "Name": "Cohort Structure",
        "Parent": {
          "$ref": "1"
        },
        "Visible": true,
        "ToolTip": "",
        "OpeningBalanceFlagAppliedName": "",
        "AllowIncomingLinks": false,
        "AllowOutgoingLinks": false,
        "IncomingLinks": {
          "$type": "System.Collections.ObjectModel.Collection`1[[ModelMaker.MMLink, ModelMaker]], mscorlib",
          "$values": []
        },
        "OutgoingLinks": {
          "$type": "System.Collections.ObjectModel.Collection`1[[ModelMaker.MMLink, ModelMaker]], mscorlib",
          "$values": []
        },
        "Deletable": true,
        "Issues": null
      },
      {
        "$ref": "16"
      },
      {
        "$ref": "20"
      },
      {
        "$id": "219",
        "$type": "ModelMaker.GroupNode, ModelMaker",
        "TabOrHeaderColour": "",
        "Comment": "",
        "NameOfGroup": null,
        "YPosition": 0,
        "Folded": false,
        "Font": null,
        "Children": {
          "$type": "ModelMaker.GroupNodeChildCollection, ModelMaker",
          "$values": []
        },
        "AllowAddChildren": true,
        "AllowRemoveChildren": true,
        "IsImported": false,
        "IsChecksGroup": false,
        "IsAlertsGroup": false,
        "IsChecksAndAlertsGroup": false,
        "IsUnallocatedGroup": false,
        "IsInputsGroup": false,
        "IsFlag": false,
        "IsTimeAndFlagsGroup": false,
        "DimensionsAcross": {
          "$type": "ModelMakerEngine.MMDimensions, ModelMakerEngine",
          "$values": []
        },
        "TimeAxis": 0,
        "IndexInParent": 7,
        "Name": "Fund Structure",
        "Parent": {
          "$ref": "1"
        },
        "Visible": true,
        "ToolTip": "",
        "OpeningBalanceFlagAppliedName": "",
        "AllowIncomingLinks": false,
        "AllowOutgoingLinks": false,
        "IncomingLinks": {
          "$type": "System.Collections.ObjectModel.Collection`1[[ModelMaker.MMLink, ModelMaker]], mscorlib",
          "$values": []
        },
        "OutgoingLinks": {
          "$type": "System.Collections.ObjectModel.Collection`1[[ModelMaker.MMLink, ModelMaker]], mscorlib",
          "$values": []
        },
        "Deletable": true,
        "Issues": null
      },
      {
        "$ref": "27"
      },
      {
        "$ref": "186"
      },
      {
        "$ref": "185"
      },
      {
        "$ref": "24"
      },
      {
        "$ref": "33"
      },
      {
        "$ref": "152"
      },
      {
        "$ref": "28"
      },
      {
        "$ref": "35"
      },
      {
        "$ref": "30"
      },
      {
        "$ref": "37"
      },
      {
        "$ref": "215"
      },
      {
        "$ref": "216"
      },
      {
        "$ref": "39"
      },
      {
        "$ref": "40"
      },
      {
        "$ref": "217"
      },
      {
        "$ref": "46"
      },
      {
        "$ref": "47"
      },
      {
        "$ref": "218"
      },
      {
        "$ref": "50"
      },
      {
        "$id": "220",
        "$type": "ModelMaker.GroupNode, ModelMaker",
        "TabOrHeaderColour": "",
        "Comment": "",
        "NameOfGroup": null,
        "YPosition": 0,
        "Folded": false,
        "Font": null,
        "Children": {
          "$type": "ModelMaker.GroupNodeChildCollection, ModelMaker",
          "$values": []
        },
        "AllowAddChildren": true,
        "AllowRemoveChildren": true,
        "IsImported": false,
        "IsChecksGroup": false,
        "IsAlertsGroup": false,
        "IsChecksAndAlertsGroup": false,
        "IsUnallocatedGroup": false,
        "IsInputsGroup": false,
        "IsFlag": false,
        "IsTimeAndFlagsGroup": false,
        "DimensionsAcross": {
          "$type": "ModelMakerEngine.MMDimensions, ModelMakerEngine",
          "$values": []
        },
        "TimeAxis": 0,
        "IndexInParent": 6,
        "Name": "Portfolio Structure",
        "Parent": {
          "$ref": "1"
        },
        "Visible": true,
        "ToolTip": "",
        "OpeningBalanceFlagAppliedName": "",
        "AllowIncomingLinks": false,
        "AllowOutgoingLinks": false,
        "IncomingLinks": {
          "$type": "System.Collections.ObjectModel.Collection`1[[ModelMaker.MMLink, ModelMaker]], mscorlib",
          "$values": []
        },
        "OutgoingLinks": {
          "$type": "System.Collections.ObjectModel.Collection`1[[ModelMaker.MMLink, ModelMaker]], mscorlib",
          "$values": []
        },
        "Deletable": true,
        "Issues": null
      }
    ]
  },
  "Reports": {
    "$type": "ModelMaker.UndoableCollection`1[[ModelMakerEngine.IReport, ModelMakerEngine]], ModelMaker.Undo",
    "$values": [
      {
        "$ref": "6"
      },
      {
        "$ref": "13"
      },
      {
        "$id": "221",
        "$type": "ModelMaker.Report, ModelMaker",
        "TimeStep": 8,
        "YearEndBasis": 1002,
        "TimeStepYearEndBasisPairs": {
          "$type": "ModelMaker.UndoableCollection`1[[ModelMakerEngine.TimeStepPeriodEndBasisPair, ModelMakerEngine]], ModelMaker.Undo",
          "$values": [
            {
              "$id": "222",
              "$type": "ModelMakerEngine.TimeStepPeriodEndBasisPair, ModelMakerEngine",
              "TimeStep": 8,
              "YearEnd": 1002
            }
          ]
        },
        "YearEndMonth": 8,
        "AllowTitleChange": true,
        "IsDuplicate": false,
        "Title": "Fund Report",
        "ReportLinesCalculated": {
          "$type": "System.Collections.Generic.List`1[[ModelMakerEngine.IReportLine, ModelMakerEngine]], mscorlib",
          "$values": []
        },
        "ReportLines": {
          "$type": "ModelMaker.UndoableCollection`1[[ModelMakerEngine.IReportLine, ModelMakerEngine]], ModelMaker.Undo",
          "$values": []
        },
        "AllowIncomingLinks": false,
        "AllowOutgoingLinks": false,
        "YPosition": -1,
        "Name": "Fund Report",
        "Parent": {
          "$ref": "1"
        },
        "Visible": true,
        "ToolTip": "",
        "OpeningBalanceFlagAppliedName": "",
        "Font": null,
        "IncomingLinks": {
          "$type": "System.Collections.ObjectModel.Collection`1[[ModelMaker.MMLink, ModelMaker]], mscorlib",
          "$values": []
        },
        "OutgoingLinks": {
          "$type": "System.Collections.ObjectModel.Collection`1[[ModelMaker.MMLink, ModelMaker]], mscorlib",
          "$values": []
        },
        "Deletable": true,
        "Issues": null
      },
      {
        "$id": "223",
        "$type": "ModelMaker.Report, ModelMaker",
        "TimeStep": 8,
        "YearEndBasis": 1002,
        "TimeStepYearEndBasisPairs": {
          "$type": "ModelMaker.UndoableCollection`1[[ModelMakerEngine.TimeStepPeriodEndBasisPair, ModelMakerEngine]], ModelMaker.Undo",
          "$values": [
            {
              "$id": "224",
              "$type": "ModelMakerEngine.TimeStepPeriodEndBasisPair, ModelMakerEngine",
              "TimeStep": 8,
              "YearEnd": 1002
            }
          ]
        },
        "YearEndMonth": 8,
        "AllowTitleChange": true,
        "IsDuplicate": false,
        "Title": "Portfolio Report",
        "ReportLinesCalculated": {
          "$type": "System.Collections.Generic.List`1[[ModelMakerEngine.IReportLine, ModelMakerEngine]], mscorlib",
          "$values": []
        },
        "ReportLines": {
          "$type": "ModelMaker.UndoableCollection`1[[ModelMakerEngine.IReportLine, ModelMakerEngine]], ModelMaker.Undo",
          "$values": []
        },
        "AllowIncomingLinks": false,
        "AllowOutgoingLinks": false,
        "YPosition": -1,
        "Name": "Portfolio Report",
        "Parent": {
          "$ref": "1"
        },
        "Visible": true,
        "ToolTip": "",
        "OpeningBalanceFlagAppliedName": "",
        "Font": null,
        "IncomingLinks": {
          "$type": "System.Collections.ObjectModel.Collection`1[[ModelMaker.MMLink, ModelMaker]], mscorlib",
          "$values": []
        },
        "OutgoingLinks": {
          "$type": "System.Collections.ObjectModel.Collection`1[[ModelMaker.MMLink, ModelMaker]], mscorlib",
          "$values": []
        },
        "Deletable": true,
        "Issues": null
      },
      {
        "$id": "225",
        "$type": "ModelMaker.Dashboard, ModelMaker",
        "AllowTitleChange": false,
        "TimeStep": 8,
        "YearEndBasis": 1002,
        "TimeStepYearEndBasisPairs": {
          "$type": "ModelMaker.UndoableCollection`1[[ModelMakerEngine.TimeStepPeriodEndBasisPair, ModelMakerEngine]], ModelMaker.Undo",
          "$values": [
            {
              "$id": "226",
              "$type": "ModelMakerEngine.TimeStepPeriodEndBasisPair, ModelMakerEngine",
              "TimeStep": 8,
              "YearEnd": 1002
            }
          ]
        },
        "YearEndMonth": 8,
        "IsDuplicate": false,
        "Title": "Dashboard",
        "ReportLinesCalculated": {
          "$type": "System.Collections.Generic.List`1[[ModelMakerEngine.IReportLine, ModelMakerEngine]], mscorlib",
          "$values": []
        },
        "ReportLines": {
          "$type": "ModelMaker.UndoableCollection`1[[ModelMakerEngine.IReportLine, ModelMakerEngine]], ModelMaker.Undo",
          "$values": []
        },
        "AllowIncomingLinks": false,
        "AllowOutgoingLinks": false,
        "YPosition": -1,
        "Name": "Dashboard",
        "Parent": {
          "$ref": "1"
        },
        "Visible": true,
        "ToolTip": "",
        "OpeningBalanceFlagAppliedName": "",
        "Font": null,
        "IncomingLinks": {
          "$type": "System.Collections.ObjectModel.Collection`1[[ModelMaker.MMLink, ModelMaker]], mscorlib",
          "$values": []
        },
        "OutgoingLinks": {
          "$type": "System.Collections.ObjectModel.Collection`1[[ModelMaker.MMLink, ModelMaker]], mscorlib",
          "$values": []
        },
        "Deletable": true,
        "Issues": null
      }
    ]
  },
  "TopLevelNodes": {
    "$type": "ModelMaker.UndoableCollection`1[[ModelMakerEngine.INode, ModelMakerEngine]], ModelMaker.Undo",
    "$values": [
      {
        "$ref": "3"
      },
      {
        "$ref": "146"
      },
      {
        "$ref": "188"
      },
      {
        "$ref": "213"
      },
      {
        "$ref": "198"
      },
      {
        "$ref": "214"
      },
      {
        "$ref": "220"
      },
      {
        "$ref": "219"
      },
      {
        "$ref": "202"
      }
    ]
  },
  "OptimisationGroup": {
    "$ref": "202"
  },
  "HistoricsGroup": {
    "$ref": "203"
  },
  "NumberOfBuiltInGroups": 4,
  "Password": null,
  "ProtectBook": false,
  "Description": null,
  "ActualsHelper": null,
  "StandardNumberFormats": {
    "$id": "227",
    "$type": "System.Collections.Generic.Dictionary`2[[ModelMakerEngine.NamedNumberFormat, ModelMakerEngine],[System.String, mscorlib]], mscorlib",
    "General": "#,##0.0_);(#,##0);\"-  \";\" \"@\" \""
  },
  "UseHybridTimeline": false,
  "MessageChoices": {
    "$id": "228",
    "$type": "System.Collections.Generic.Dictionary`2[[System.String, mscorlib],[System.Int32, mscorlib]], mscorlib",
    "UnusedItems": 2
  },
  "UnitNumberFormatMapping": {
    "$id": "229",
    "$type": "ModelMakerEngine.UnitNumberFormatMapping, ModelMakerEngine",
    "UnitNumberFormatting": {
      "$id": "230",
      "$type": "System.Collections.Generic.Dictionary`2[[System.String, mscorlib],[ModelMakerEngine.NamedNumberFormat, ModelMakerEngine]], mscorlib",
      "GBP": 4
    },
    "UnitCustomNumberFormatting": {
      "$id": "231",
      "$type": "System.Collections.Generic.Dictionary`2[[System.String, mscorlib],[System.String, mscorlib]], mscorlib"
    }
  },
  "TableSections": {
    "$type": "System.Linq.Enumerable+WhereEnumerableIterator`1[[ModelMakerEngine.IGroupNode, ModelMakerEngine]], System.Core",
    "$values": []
  },
  "ScenarioNamesInModel": {
    "$type": "System.Collections.Generic.List`1[[System.String, mscorlib]], mscorlib",
    "$values": [
      " Base case 1 ",
      " Base case 2 ",
      " Base case 3 ",
      " Scenario 1 ",
      " Scenario 2 ",
      " Scenario 3 ",
      " Scenario 4 "
    ]
  }
}]]>  <Options>
    <TotalsColumn Value="8"/>
    <ConstantsColumn Value="6"/>
    <InputRow Value="7"/>
    <FirstTimeColumn Value="10"/>
    <UnitsColumn Value="7"/>
    <InputName Value="5"/>
    <OutputFileName Value="C:\Users\andyd\OneDrive\Documents\Financial Models\NP3\NP3.xlsx"/>
    <SpacingBetweenBlocks Value="1"/>
    <SpacingBetweenFormulas Value="0"/>
    <SpacingBetweenInputs Value="0"/>
    <SpacingRowsSmall Value="False"/>
    <SpacingRowsSize Value="4"/>
    <TimeRow Value="2"/>
    <InputLayout Value="ConstantsSeparate"/>
    <CalcsLayout Value="Group"/>
    <ExcelFormat Value="2"/>
    <SaveAsXLSB Value="False"/>
    <DimensionsInSeparateColumn Value="False"/>
    <GroupCalculationandResultBlocks Value="True"/>
    <GroupSections Value="True"/>
    <FlagNotAsPercent Value="True"/>
    <Formulanamesonallrows Value="True"/>
    <OpeningBalancesText Value=""/>
    <ClosingBalancetext Value=""/>
    <FreezeFrames Value="True"/>
    <EnforceOneFormula Value="False"/>
    <HideGridlines Value="True"/>
    <ResultsLayout Value="Group"/>
    <GroupBlocks Value="True"/>
    <FASTBlocks Value="True"/>
    <FASTImportColor Value="True"/>
    <FASTExportColor Value="True"/>
    <FASTSpacing Value="True"/>
    <FastColorCounterflows Value="False"/>
    <FASTTotalsColumn Value="8"/>
    <FASTLiveLabels Value="True"/>
    <FASTVBAScenarios Value="False"/>
    <FASTPyramidStructure Value="True"/>
    <FASTRowAnchorLinks Value="True"/>
    <ReviewColumn Value="False"/>
  </Options>
</ModelMaker>
</file>

<file path=customXml/itemProps1.xml><?xml version="1.0" encoding="utf-8"?>
<ds:datastoreItem xmlns:ds="http://schemas.openxmlformats.org/officeDocument/2006/customXml" ds:itemID="{359D591E-BDAC-4558-BB61-E9156A1AEB0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21</vt:i4>
      </vt:variant>
      <vt:variant>
        <vt:lpstr>Named Ranges</vt:lpstr>
      </vt:variant>
      <vt:variant>
        <vt:i4>133</vt:i4>
      </vt:variant>
    </vt:vector>
  </HeadingPairs>
  <TitlesOfParts>
    <vt:vector size="154" baseType="lpstr">
      <vt:lpstr>Cover</vt:lpstr>
      <vt:lpstr>Contents</vt:lpstr>
      <vt:lpstr>InpC</vt:lpstr>
      <vt:lpstr>InpS</vt:lpstr>
      <vt:lpstr>InpT</vt:lpstr>
      <vt:lpstr>Time</vt:lpstr>
      <vt:lpstr>Defect</vt:lpstr>
      <vt:lpstr>Company Capital Structure</vt:lpstr>
      <vt:lpstr>Model Checks and Alerts</vt:lpstr>
      <vt:lpstr>Cohort Structure</vt:lpstr>
      <vt:lpstr>Portfolio Structure</vt:lpstr>
      <vt:lpstr>Fund Structure</vt:lpstr>
      <vt:lpstr>Company Report</vt:lpstr>
      <vt:lpstr>Cohort Report</vt:lpstr>
      <vt:lpstr>Fund Report</vt:lpstr>
      <vt:lpstr>Portfolio Report</vt:lpstr>
      <vt:lpstr>Results Table</vt:lpstr>
      <vt:lpstr>Output</vt:lpstr>
      <vt:lpstr>Issues</vt:lpstr>
      <vt:lpstr>Sheet1</vt:lpstr>
      <vt:lpstr>Styles</vt:lpstr>
      <vt:lpstr>CASE_ACTIVE</vt:lpstr>
      <vt:lpstr>CASE_COMPARISON</vt:lpstr>
      <vt:lpstr>Cohort_Loan_Balance</vt:lpstr>
      <vt:lpstr>Cohort_Loan_Balance.BEG</vt:lpstr>
      <vt:lpstr>Constants</vt:lpstr>
      <vt:lpstr>DPI</vt:lpstr>
      <vt:lpstr>ExampleInputRow</vt:lpstr>
      <vt:lpstr>Exit_Proceeds</vt:lpstr>
      <vt:lpstr>Exit_Value</vt:lpstr>
      <vt:lpstr>Exited_Companies</vt:lpstr>
      <vt:lpstr>Exited_Companies.BEG</vt:lpstr>
      <vt:lpstr>Failed_Companies</vt:lpstr>
      <vt:lpstr>Failed_Companies.BEG</vt:lpstr>
      <vt:lpstr>InpC!FirstDifferenceCell</vt:lpstr>
      <vt:lpstr>InpC!FirstRow</vt:lpstr>
      <vt:lpstr>FirstRow</vt:lpstr>
      <vt:lpstr>FirstTime</vt:lpstr>
      <vt:lpstr>Headings</vt:lpstr>
      <vt:lpstr>InpC!InputChanges</vt:lpstr>
      <vt:lpstr>Investor_Cofounder__</vt:lpstr>
      <vt:lpstr>Investor_Cofounder_Shares</vt:lpstr>
      <vt:lpstr>Investor_Cofounder_Shares.BEG</vt:lpstr>
      <vt:lpstr>Investor_Cofounder_Value</vt:lpstr>
      <vt:lpstr>Label</vt:lpstr>
      <vt:lpstr>Loan_and_Redemption_Premium_Repayment</vt:lpstr>
      <vt:lpstr>Loan_Note</vt:lpstr>
      <vt:lpstr>Loan_Note.BEG</vt:lpstr>
      <vt:lpstr>'Cohort Report'!MasterALERT</vt:lpstr>
      <vt:lpstr>'Cohort Structure'!MasterALERT</vt:lpstr>
      <vt:lpstr>'Company Capital Structure'!MasterALERT</vt:lpstr>
      <vt:lpstr>'Company Report'!MasterALERT</vt:lpstr>
      <vt:lpstr>Defect!MasterALERT</vt:lpstr>
      <vt:lpstr>'Fund Report'!MasterALERT</vt:lpstr>
      <vt:lpstr>'Fund Structure'!MasterALERT</vt:lpstr>
      <vt:lpstr>InpS!MasterALERT</vt:lpstr>
      <vt:lpstr>InpT!MasterALERT</vt:lpstr>
      <vt:lpstr>'Model Checks and Alerts'!MasterALERT</vt:lpstr>
      <vt:lpstr>'Portfolio Report'!MasterALERT</vt:lpstr>
      <vt:lpstr>'Portfolio Structure'!MasterALERT</vt:lpstr>
      <vt:lpstr>'Results Table'!MasterALERT</vt:lpstr>
      <vt:lpstr>Time!MasterALERT</vt:lpstr>
      <vt:lpstr>'Cohort Report'!MasterCHK</vt:lpstr>
      <vt:lpstr>'Cohort Structure'!MasterCHK</vt:lpstr>
      <vt:lpstr>'Company Capital Structure'!MasterCHK</vt:lpstr>
      <vt:lpstr>'Company Report'!MasterCHK</vt:lpstr>
      <vt:lpstr>Defect!MasterCHK</vt:lpstr>
      <vt:lpstr>'Fund Report'!MasterCHK</vt:lpstr>
      <vt:lpstr>'Fund Structure'!MasterCHK</vt:lpstr>
      <vt:lpstr>InpS!MasterCHK</vt:lpstr>
      <vt:lpstr>InpT!MasterCHK</vt:lpstr>
      <vt:lpstr>'Model Checks and Alerts'!MasterCHK</vt:lpstr>
      <vt:lpstr>'Portfolio Report'!MasterCHK</vt:lpstr>
      <vt:lpstr>'Portfolio Structure'!MasterCHK</vt:lpstr>
      <vt:lpstr>'Results Table'!MasterCHK</vt:lpstr>
      <vt:lpstr>Time!MasterCHK</vt:lpstr>
      <vt:lpstr>Model_period_end</vt:lpstr>
      <vt:lpstr>Model_period_start</vt:lpstr>
      <vt:lpstr>New_Capital_From_Investor_Cofounder</vt:lpstr>
      <vt:lpstr>New_Capital_From_Other_Investor</vt:lpstr>
      <vt:lpstr>New_Capital_From_Sector_Cofounder</vt:lpstr>
      <vt:lpstr>New_Capital_From_Studio_Cofounder</vt:lpstr>
      <vt:lpstr>New_Company_Loan_Note</vt:lpstr>
      <vt:lpstr>obxIssuesLog</vt:lpstr>
      <vt:lpstr>Other_Investor__</vt:lpstr>
      <vt:lpstr>Other_Investor_Shares</vt:lpstr>
      <vt:lpstr>Other_Investor_Shares.BEG</vt:lpstr>
      <vt:lpstr>Other_Investor_Value</vt:lpstr>
      <vt:lpstr>Percentage_Exit</vt:lpstr>
      <vt:lpstr>Percentage_Fail</vt:lpstr>
      <vt:lpstr>Percentage_Graduate</vt:lpstr>
      <vt:lpstr>Percentage_Graduate.BEG</vt:lpstr>
      <vt:lpstr>Period_number</vt:lpstr>
      <vt:lpstr>Post_Money_Valuation</vt:lpstr>
      <vt:lpstr>Pre_Money_Valuation</vt:lpstr>
      <vt:lpstr>Price_per_Share</vt:lpstr>
      <vt:lpstr>Proceeds_to_Investor_Cofounder</vt:lpstr>
      <vt:lpstr>Proceeds_to_Other_Investor</vt:lpstr>
      <vt:lpstr>Proceeds_to_Sector_Cofounder</vt:lpstr>
      <vt:lpstr>Proceeds_to_Studio_Cofounder</vt:lpstr>
      <vt:lpstr>Remaing_Companies</vt:lpstr>
      <vt:lpstr>Remaing_Companies.BEG</vt:lpstr>
      <vt:lpstr>ReportBarFormat</vt:lpstr>
      <vt:lpstr>scenario</vt:lpstr>
      <vt:lpstr>ScenarioPointer</vt:lpstr>
      <vt:lpstr>Sector_Cofounder__</vt:lpstr>
      <vt:lpstr>Sector_Cofounder_Shares</vt:lpstr>
      <vt:lpstr>Sector_Cofounder_Shares.BEG</vt:lpstr>
      <vt:lpstr>Sector_Cofounder_Value</vt:lpstr>
      <vt:lpstr>SensitivityInputs</vt:lpstr>
      <vt:lpstr>Studio_Cofounder__</vt:lpstr>
      <vt:lpstr>Studio_Cofounder_Shares</vt:lpstr>
      <vt:lpstr>Studio_Cofounder_Shares.BEG</vt:lpstr>
      <vt:lpstr>Studio_Cofounder_Value</vt:lpstr>
      <vt:lpstr>TimeRow</vt:lpstr>
      <vt:lpstr>TOCFirstLine</vt:lpstr>
      <vt:lpstr>TOCobxCohort_Structure</vt:lpstr>
      <vt:lpstr>TOCobxCohort_Structure.Companies</vt:lpstr>
      <vt:lpstr>TOCobxCohort_Structure.Loan</vt:lpstr>
      <vt:lpstr>TOCobxCohort_Structure.Metrics</vt:lpstr>
      <vt:lpstr>TOCobxCohort_Structure.Returns</vt:lpstr>
      <vt:lpstr>TOCobxCompany_Capital_Structure</vt:lpstr>
      <vt:lpstr>TOCobxCompany_Capital_Structure.Debt</vt:lpstr>
      <vt:lpstr>TOCobxCompany_Capital_Structure.Equity_Value</vt:lpstr>
      <vt:lpstr>TOCobxCompany_Capital_Structure.Exit</vt:lpstr>
      <vt:lpstr>TOCobxCompany_Capital_Structure.New_Shares</vt:lpstr>
      <vt:lpstr>TOCobxCompany_Capital_Structure.Percentage_Shareholding</vt:lpstr>
      <vt:lpstr>TOCobxCompany_Capital_Structure.Shares_In_Issue</vt:lpstr>
      <vt:lpstr>TOCobxDefect</vt:lpstr>
      <vt:lpstr>TOCobxFund_Structure</vt:lpstr>
      <vt:lpstr>TOCobxInputs</vt:lpstr>
      <vt:lpstr>TOCobxInputs.Cohort</vt:lpstr>
      <vt:lpstr>TOCobxInputs.Company</vt:lpstr>
      <vt:lpstr>TOCobxInputs.Company.Debt</vt:lpstr>
      <vt:lpstr>TOCobxInputs.Company.Equity</vt:lpstr>
      <vt:lpstr>TOCobxInputs.Company.Exit</vt:lpstr>
      <vt:lpstr>TOCobxInputs.Company.Opening_Balances</vt:lpstr>
      <vt:lpstr>TOCobxModel_Checks_and_Alerts</vt:lpstr>
      <vt:lpstr>TOCobxPortfolio_Structure</vt:lpstr>
      <vt:lpstr>TOCobxTime</vt:lpstr>
      <vt:lpstr>TOCobxTime.Headers</vt:lpstr>
      <vt:lpstr>TOCrepobxCohort_Report_Year</vt:lpstr>
      <vt:lpstr>TOCrepobxCompany_Report_Year</vt:lpstr>
      <vt:lpstr>Total__</vt:lpstr>
      <vt:lpstr>Total_Companies</vt:lpstr>
      <vt:lpstr>Total_Debt</vt:lpstr>
      <vt:lpstr>Total_Equity_Value</vt:lpstr>
      <vt:lpstr>Total_Exit_Proceeds</vt:lpstr>
      <vt:lpstr>Total_Investor_Cofounder_Return</vt:lpstr>
      <vt:lpstr>Total_Investor_Cofounder_Return.BEG</vt:lpstr>
      <vt:lpstr>Total_New_Capital_Raised_From_Equity</vt:lpstr>
      <vt:lpstr>Total_Shares_In_Issue</vt:lpstr>
      <vt:lpstr>Totals</vt:lpstr>
      <vt:lpstr>Units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Andy Davidson</cp:lastModifiedBy>
  <dcterms:modified xsi:type="dcterms:W3CDTF">2023-09-10T09:42:27Z</dcterms:modified>
</cp:coreProperties>
</file>